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Sheet1" sheetId="1" r:id="rId1"/>
    <sheet name="Sheet2" sheetId="2" r:id="rId2"/>
    <sheet name="Sheet3" sheetId="3" r:id="rId3"/>
  </sheets>
  <definedNames>
    <definedName name="OLE_LINK1" localSheetId="0">'Sheet1'!#REF!</definedName>
    <definedName name="_xlnm.Print_Area" localSheetId="0">'Sheet1'!$A$1:$AF$500</definedName>
  </definedNames>
  <calcPr fullCalcOnLoad="1"/>
</workbook>
</file>

<file path=xl/sharedStrings.xml><?xml version="1.0" encoding="utf-8"?>
<sst xmlns="http://schemas.openxmlformats.org/spreadsheetml/2006/main" count="3211" uniqueCount="423">
  <si>
    <t>WWTP</t>
  </si>
  <si>
    <t>in WRCA</t>
  </si>
  <si>
    <t>Reuse</t>
  </si>
  <si>
    <t>Comments</t>
  </si>
  <si>
    <t>Domestic Wastewater Facility Name</t>
  </si>
  <si>
    <t>Capacity</t>
  </si>
  <si>
    <t>(mgd)</t>
  </si>
  <si>
    <t>Flow</t>
  </si>
  <si>
    <t>Charlotte County</t>
  </si>
  <si>
    <t>Charlotte County Utilities/Eastport</t>
  </si>
  <si>
    <t>Punta Gorda, City of</t>
  </si>
  <si>
    <t>Riverwoods Utilities</t>
  </si>
  <si>
    <t>Charlotte County Subtotals</t>
  </si>
  <si>
    <t>Within WRCA</t>
  </si>
  <si>
    <t>Outside WRCA</t>
  </si>
  <si>
    <t>County Total</t>
  </si>
  <si>
    <t>DeSoto County</t>
  </si>
  <si>
    <t>Arcadia (William Tyson Plant)</t>
  </si>
  <si>
    <t>DeSoto Correctional Institution</t>
  </si>
  <si>
    <t>DeSoto County Subtotals</t>
  </si>
  <si>
    <t>Hardee County</t>
  </si>
  <si>
    <t>Bowling Green, City of</t>
  </si>
  <si>
    <t>Hardee County Correctional</t>
  </si>
  <si>
    <t>Wauchula, City of</t>
  </si>
  <si>
    <t>Zolfo Springs, City of</t>
  </si>
  <si>
    <t>Hardee County Subtotals</t>
  </si>
  <si>
    <t>included with above</t>
  </si>
  <si>
    <t>Highlands County</t>
  </si>
  <si>
    <t>Sun N Lake of Sebring Unit 23</t>
  </si>
  <si>
    <t>Sebring, City of</t>
  </si>
  <si>
    <t>Highlands County Subtotals</t>
  </si>
  <si>
    <t>Hillsborough County</t>
  </si>
  <si>
    <t>Country Meadows/Golden Lakes</t>
  </si>
  <si>
    <t>MacDill AFB</t>
  </si>
  <si>
    <t>Pebble Creek Village</t>
  </si>
  <si>
    <t>Plant City, City of</t>
  </si>
  <si>
    <t>Rice Creek Utility</t>
  </si>
  <si>
    <t>Windemere Utility Company</t>
  </si>
  <si>
    <t>Hillsborough County Subtotals</t>
  </si>
  <si>
    <t>Manatee County</t>
  </si>
  <si>
    <t>Bradenton, City of</t>
  </si>
  <si>
    <t>Manatee Co./North Regional</t>
  </si>
  <si>
    <t>Manatee Co./Southeast Regional</t>
  </si>
  <si>
    <t>Manatee Co./Southwest Regional</t>
  </si>
  <si>
    <t>Palmetto, City of</t>
  </si>
  <si>
    <t>Manatee County Subtotals</t>
  </si>
  <si>
    <t>On Top of the World</t>
  </si>
  <si>
    <t>Pasco County</t>
  </si>
  <si>
    <t>Dade City, City of</t>
  </si>
  <si>
    <t>Jasmine Lakes</t>
  </si>
  <si>
    <t>New Port Richey, City of</t>
  </si>
  <si>
    <t>Pasco Co. Utilities/Land O' Lakes</t>
  </si>
  <si>
    <t>Travelers Rest RV Park</t>
  </si>
  <si>
    <t>Zephyrhills, City of</t>
  </si>
  <si>
    <t>Pasco County Subtotals</t>
  </si>
  <si>
    <t>County Totals</t>
  </si>
  <si>
    <t>Pinellas County</t>
  </si>
  <si>
    <t>Clearwater, City of/East</t>
  </si>
  <si>
    <t>Clearwater, City of/Marshall</t>
  </si>
  <si>
    <t>Clearwater, City of/Northeast</t>
  </si>
  <si>
    <t>Dunedin, City of/Mainland</t>
  </si>
  <si>
    <t>Largo, City of</t>
  </si>
  <si>
    <t>Mid-County/Dyna-Flow</t>
  </si>
  <si>
    <t>Oldsmar, City of</t>
  </si>
  <si>
    <t>Pinellas County Utilities/South Cross Bayou</t>
  </si>
  <si>
    <t>St. Petersburg, City of/Northeast</t>
  </si>
  <si>
    <t>St. Petersburg, City of/A. Whited</t>
  </si>
  <si>
    <t>Tarpon Springs, City of</t>
  </si>
  <si>
    <t>Pinellas County Subtotals</t>
  </si>
  <si>
    <t>Polk County</t>
  </si>
  <si>
    <t>Bartow, City of</t>
  </si>
  <si>
    <t>Fort Meade, City of</t>
  </si>
  <si>
    <t>Cypress Lakes</t>
  </si>
  <si>
    <t>Haines City, City of</t>
  </si>
  <si>
    <t>Lake Alfred, City of</t>
  </si>
  <si>
    <t>Lake Wales, City of/New Plant</t>
  </si>
  <si>
    <t>Lakeland, City of/Northside</t>
  </si>
  <si>
    <t>Polk County Utilities/NE Regional</t>
  </si>
  <si>
    <t>Polk County Utilities/SW Regional</t>
  </si>
  <si>
    <t>Polk County Correctional Institute</t>
  </si>
  <si>
    <t>Swiss Golf Club</t>
  </si>
  <si>
    <t>Swiss Village</t>
  </si>
  <si>
    <t>Winter Haven, City of/Conine #2</t>
  </si>
  <si>
    <t>Polk County Subtotals</t>
  </si>
  <si>
    <t>Sarasota County</t>
  </si>
  <si>
    <t>Camelot Lakes</t>
  </si>
  <si>
    <t>North Port, City of</t>
  </si>
  <si>
    <t>Sarasota County/Central County</t>
  </si>
  <si>
    <t>Sarasota County/Venice Gardens</t>
  </si>
  <si>
    <t>Sarasota, City of</t>
  </si>
  <si>
    <t>Siesta Key Utility Authority</t>
  </si>
  <si>
    <t>Sarasota County Totals</t>
  </si>
  <si>
    <t>Y = Yes</t>
  </si>
  <si>
    <t>N = No</t>
  </si>
  <si>
    <t>COMMENTS</t>
  </si>
  <si>
    <t>Treatment</t>
  </si>
  <si>
    <t>Disinfection</t>
  </si>
  <si>
    <t>Types</t>
  </si>
  <si>
    <t>* Indicates that the reclaimed water system is regionalized and receives water from the plants listed directly below with an "included with above" designation</t>
  </si>
  <si>
    <t>RES = Single family residential customers</t>
  </si>
  <si>
    <t>R/A/C = Recreational, aesthetic irrigation, and commercial irrigation including multi-family property irrigation.</t>
  </si>
  <si>
    <t>GC = Golf course irrigation.</t>
  </si>
  <si>
    <t>IND = Industrial uses including but not limited to cooling towers and process water.</t>
  </si>
  <si>
    <t xml:space="preserve">NAT = Natural system restoration uses including but not limited to downstream augmentation, wetlands creation or augmentation, recharge,  and upland restoration. </t>
  </si>
  <si>
    <t>AGR = Agricultural uses</t>
  </si>
  <si>
    <t>1,c</t>
  </si>
  <si>
    <t>IND</t>
  </si>
  <si>
    <t>GC, RES</t>
  </si>
  <si>
    <t>GC</t>
  </si>
  <si>
    <t>GC, RES, R/A/C</t>
  </si>
  <si>
    <t>GC, R/A/C</t>
  </si>
  <si>
    <t>NAT</t>
  </si>
  <si>
    <t>AGR, R/A/C, RES, GC</t>
  </si>
  <si>
    <t>GC, RES, R/A/C, AGR</t>
  </si>
  <si>
    <t>RES</t>
  </si>
  <si>
    <t>RES, R/A/C, GC, IND</t>
  </si>
  <si>
    <t>RES, R/A/C</t>
  </si>
  <si>
    <t>GC, RES, R/A/C, IND</t>
  </si>
  <si>
    <t>RES, GC, R/A/C</t>
  </si>
  <si>
    <t>AGR</t>
  </si>
  <si>
    <t>GC, AGR, R/A/C</t>
  </si>
  <si>
    <t>GC, AGR, RES</t>
  </si>
  <si>
    <t>R/A/C</t>
  </si>
  <si>
    <t>GC,R/A/C, RES</t>
  </si>
  <si>
    <t>Charlotte County/Burnt Store</t>
  </si>
  <si>
    <t>Charlotte County/Rotunda West</t>
  </si>
  <si>
    <t>*1</t>
  </si>
  <si>
    <t>HI</t>
  </si>
  <si>
    <t>A-SEC</t>
  </si>
  <si>
    <t>BA</t>
  </si>
  <si>
    <t>IM</t>
  </si>
  <si>
    <t>AWT</t>
  </si>
  <si>
    <t>HB</t>
  </si>
  <si>
    <t>AWT = Advanced Wastewater Treatment</t>
  </si>
  <si>
    <t>A-SEC = Advanced Secondary wastewater treatment</t>
  </si>
  <si>
    <t>HI = High level disinfection</t>
  </si>
  <si>
    <t>HB = High level and Basic level disinfection</t>
  </si>
  <si>
    <t>IM = Intermediate level disinfection</t>
  </si>
  <si>
    <t>BA = Basic level disinfection</t>
  </si>
  <si>
    <t>SWUCA</t>
  </si>
  <si>
    <t>NTB</t>
  </si>
  <si>
    <t>NTB = Nothern Tampa Bay Area</t>
  </si>
  <si>
    <t>SWUCA = Southern Water Use Caution Area</t>
  </si>
  <si>
    <t>Ex &amp; Planned</t>
  </si>
  <si>
    <t>Hi</t>
  </si>
  <si>
    <t>Reuse Total</t>
  </si>
  <si>
    <t>Pinellas County Utilities/North-Dunn</t>
  </si>
  <si>
    <t>included in above</t>
  </si>
  <si>
    <t>Lake Placid/Tomoka Heights</t>
  </si>
  <si>
    <t>included in Falkenburg</t>
  </si>
  <si>
    <t>SWFWMD Reuse Inventory 2005-2030 RWSP</t>
  </si>
  <si>
    <t>Region</t>
  </si>
  <si>
    <t>Planning Areas= Northern, Tampa Bay, Heartland, and Southern</t>
  </si>
  <si>
    <t>Planning</t>
  </si>
  <si>
    <r>
      <t>(</t>
    </r>
    <r>
      <rPr>
        <b/>
        <sz val="8"/>
        <rFont val="Arial"/>
        <family val="2"/>
      </rPr>
      <t>Northern, Tampa Bay, Hearland, Southern)</t>
    </r>
  </si>
  <si>
    <t>Southern</t>
  </si>
  <si>
    <t>Heartland</t>
  </si>
  <si>
    <t>Tampa Bay</t>
  </si>
  <si>
    <t>Levy County</t>
  </si>
  <si>
    <t>Nothern</t>
  </si>
  <si>
    <t>Williston, City of</t>
  </si>
  <si>
    <t>Population</t>
  </si>
  <si>
    <t>1,</t>
  </si>
  <si>
    <t>Levy County Subtotals</t>
  </si>
  <si>
    <t>Citrus County</t>
  </si>
  <si>
    <t>Citrus County Subtotals</t>
  </si>
  <si>
    <t>Inverness, City of</t>
  </si>
  <si>
    <t>Crystal River, City of</t>
  </si>
  <si>
    <t>Point Of Woods</t>
  </si>
  <si>
    <t>SEC</t>
  </si>
  <si>
    <t>Lake Suzy WWTF</t>
  </si>
  <si>
    <t xml:space="preserve">Charlotte County/West Port </t>
  </si>
  <si>
    <t>Total Population (Sewered + Septic)</t>
  </si>
  <si>
    <t>Percentage of Increase Sewered</t>
  </si>
  <si>
    <t>Sumter County</t>
  </si>
  <si>
    <t>Continental Country Club</t>
  </si>
  <si>
    <t>City of Bushnell</t>
  </si>
  <si>
    <t>Little Sumter Util (Villages)</t>
  </si>
  <si>
    <t xml:space="preserve">North Sumter (Villages) </t>
  </si>
  <si>
    <t>Sumter Correctional</t>
  </si>
  <si>
    <t>City of Wildwood</t>
  </si>
  <si>
    <t xml:space="preserve">Englewood WD </t>
  </si>
  <si>
    <r>
      <t>Total Population</t>
    </r>
    <r>
      <rPr>
        <b/>
        <vertAlign val="superscript"/>
        <sz val="10"/>
        <rFont val="Arial"/>
        <family val="2"/>
      </rPr>
      <t xml:space="preserve">m </t>
    </r>
    <r>
      <rPr>
        <b/>
        <sz val="10"/>
        <rFont val="Arial"/>
        <family val="2"/>
      </rPr>
      <t>(Sewered + Septic)</t>
    </r>
  </si>
  <si>
    <t>Sumter County Subtotals</t>
  </si>
  <si>
    <t>Marion County</t>
  </si>
  <si>
    <t>Marion County Subtotals</t>
  </si>
  <si>
    <t>Marion Oak Run</t>
  </si>
  <si>
    <t>Hernando County</t>
  </si>
  <si>
    <t>Hernando County Subtotals</t>
  </si>
  <si>
    <t>Ridge Manor/Hernando Co.</t>
  </si>
  <si>
    <t>The Glen/Hernando Co.</t>
  </si>
  <si>
    <t>Brooksville  City of</t>
  </si>
  <si>
    <t>Lake County</t>
  </si>
  <si>
    <t>Lake County Subtotals</t>
  </si>
  <si>
    <t>No WWTPs in District Portion of County</t>
  </si>
  <si>
    <t>LEVY</t>
  </si>
  <si>
    <t>CITRUS</t>
  </si>
  <si>
    <t>SUMTER</t>
  </si>
  <si>
    <t>MARION</t>
  </si>
  <si>
    <t>HERNANDO</t>
  </si>
  <si>
    <t>LAKE</t>
  </si>
  <si>
    <t>CHARLOTTE</t>
  </si>
  <si>
    <t>DESOTO</t>
  </si>
  <si>
    <t>HARDEE</t>
  </si>
  <si>
    <t>HIGHLANDS</t>
  </si>
  <si>
    <t>HILLSBOROUGH</t>
  </si>
  <si>
    <t>MANATEE</t>
  </si>
  <si>
    <t>PASCO</t>
  </si>
  <si>
    <t>PINELLAS</t>
  </si>
  <si>
    <t>SARASOTA</t>
  </si>
  <si>
    <t>Northern Totals</t>
  </si>
  <si>
    <t>Northern</t>
  </si>
  <si>
    <t>NORTHERN AREA TOTALS</t>
  </si>
  <si>
    <t>TAMPA BAY AREA TOTALS</t>
  </si>
  <si>
    <t>SWUCA Subtotals</t>
  </si>
  <si>
    <t>NTB Subtotals</t>
  </si>
  <si>
    <t>HEARTLAND AREA TOTALS</t>
  </si>
  <si>
    <t>Heartland Totals</t>
  </si>
  <si>
    <t>SOUTHERN AREA TOTALS</t>
  </si>
  <si>
    <t>Southern Totals</t>
  </si>
  <si>
    <t>DISTRICT-WIDE TOTALS</t>
  </si>
  <si>
    <t>District-wide Totals</t>
  </si>
  <si>
    <t>Potential Decom.   Add flows to NW-Regional</t>
  </si>
  <si>
    <t>Pasco Co. Utilities/Embassy Hills  (planned decom.)</t>
  </si>
  <si>
    <t>Pasco Co. Utilities/Hudson  (planned decom.)</t>
  </si>
  <si>
    <t>Pasco Co. Utilities/Deer Park  (planned decom.)</t>
  </si>
  <si>
    <t>Pasco Co. Utilities/Odessa Sub.  (planned decom.)</t>
  </si>
  <si>
    <t>Pasco Co. Utilities/Shady Hills Regional</t>
  </si>
  <si>
    <t>Pasco Co. Utilities/Wesley Center Regional</t>
  </si>
  <si>
    <t>Pasco Co. Utilities/South East</t>
  </si>
  <si>
    <t>GC, IND, RES, R/A/C</t>
  </si>
  <si>
    <t>IND, RES, R/A/C, AGR</t>
  </si>
  <si>
    <t>Hillsborough Co./Falkenburg Road  S/C System</t>
  </si>
  <si>
    <t>Hillsborough Co./South County S/C System</t>
  </si>
  <si>
    <t>Hillsborough Co./Valrico S/C System</t>
  </si>
  <si>
    <t xml:space="preserve">Hillsborough Co./Dale Mabry  NW System </t>
  </si>
  <si>
    <t>Hillsborough Co./NW Regional  NW System</t>
  </si>
  <si>
    <t>Hillsborough Co./River Oaks NW System</t>
  </si>
  <si>
    <t>Hillsborough Co./Van Dyke NW System</t>
  </si>
  <si>
    <t>AG</t>
  </si>
  <si>
    <t>Included with above</t>
  </si>
  <si>
    <t>GC, RES, R/A/C, AGR, IND</t>
  </si>
  <si>
    <t>Forest Lakes Estates (Labrador)</t>
  </si>
  <si>
    <t>Seven Springs (Aloha, FGUA)</t>
  </si>
  <si>
    <t>Palm Terrace Gardens</t>
  </si>
  <si>
    <t xml:space="preserve">St. Petersburg, City of/Northwest </t>
  </si>
  <si>
    <t xml:space="preserve">St. Petersburg, City of/Southwest </t>
  </si>
  <si>
    <t>Citrus-Beverly Hills-Rolling Oaks</t>
  </si>
  <si>
    <t>Citrus-Brentwood</t>
  </si>
  <si>
    <t>Citrus-Meadowcrest</t>
  </si>
  <si>
    <t>Citrus-Sugar Mill Woods</t>
  </si>
  <si>
    <t>Auburndale, Allred (South Plant)</t>
  </si>
  <si>
    <t>Auburndale, Regional (North Plant)</t>
  </si>
  <si>
    <t>Davenport, City of</t>
  </si>
  <si>
    <t>Dundee, Town of</t>
  </si>
  <si>
    <t>Frostproof, City of</t>
  </si>
  <si>
    <t>Lakeland/Glendale</t>
  </si>
  <si>
    <t xml:space="preserve">Polk City/Mt Olive </t>
  </si>
  <si>
    <t>Polk County Utilities/NW Regional</t>
  </si>
  <si>
    <t>Polk County Utilities/Polo Park (tb decom.)</t>
  </si>
  <si>
    <t>Polk County Utilities/SE-Sunray</t>
  </si>
  <si>
    <t>Winter Haven, City of/Pollard #3 (2008 upgraded to AWT)</t>
  </si>
  <si>
    <t>Venice, City of</t>
  </si>
  <si>
    <t>a = Portions of the reuse system have or are being designed/constructed under the District Cooperative Funding Initiative program.</t>
  </si>
  <si>
    <t>j = Data obtained through draft SWFWMD/Utility Planned and Under Construction Reclaimed Water Database</t>
  </si>
  <si>
    <t>l</t>
  </si>
  <si>
    <t>1,j</t>
  </si>
  <si>
    <t>*1,j</t>
  </si>
  <si>
    <t>1,d</t>
  </si>
  <si>
    <t>d = To Be Decommissioned</t>
  </si>
  <si>
    <r>
      <t>Increase</t>
    </r>
    <r>
      <rPr>
        <b/>
        <vertAlign val="superscript"/>
        <sz val="10"/>
        <rFont val="Arial"/>
        <family val="2"/>
      </rPr>
      <t>e</t>
    </r>
  </si>
  <si>
    <t>CFCA= Central Florida Caution Area</t>
  </si>
  <si>
    <r>
      <t>Conservation</t>
    </r>
    <r>
      <rPr>
        <b/>
        <vertAlign val="superscript"/>
        <sz val="10"/>
        <rFont val="Arial"/>
        <family val="2"/>
      </rPr>
      <t>g</t>
    </r>
  </si>
  <si>
    <r>
      <t>I&amp;I</t>
    </r>
    <r>
      <rPr>
        <b/>
        <vertAlign val="superscript"/>
        <sz val="10"/>
        <rFont val="Arial"/>
        <family val="2"/>
      </rPr>
      <t>h</t>
    </r>
  </si>
  <si>
    <t>Blank Space = No data available</t>
  </si>
  <si>
    <t>Included with above/below = Indicates that flow goes to the regionalized system designated with an asterisk and listed above.</t>
  </si>
  <si>
    <t>c = Utility has not recieved any SWFWMD reclaimed water related funding.</t>
  </si>
  <si>
    <r>
      <t xml:space="preserve">Utilization </t>
    </r>
    <r>
      <rPr>
        <b/>
        <vertAlign val="superscript"/>
        <sz val="10"/>
        <rFont val="Arial"/>
        <family val="2"/>
      </rPr>
      <t>b</t>
    </r>
  </si>
  <si>
    <t>1,n</t>
  </si>
  <si>
    <t>Dunellon</t>
  </si>
  <si>
    <t>1,j,n</t>
  </si>
  <si>
    <t>1,c,n</t>
  </si>
  <si>
    <t>1,j,m,n</t>
  </si>
  <si>
    <t>Grenelefe Resort</t>
  </si>
  <si>
    <t>Mulberry, City of (includes Landstar)</t>
  </si>
  <si>
    <t xml:space="preserve">Total 2010 WWTP </t>
  </si>
  <si>
    <t xml:space="preserve">2010                       WWTP Levels                                    </t>
  </si>
  <si>
    <r>
      <t>2010                        Reuse</t>
    </r>
    <r>
      <rPr>
        <b/>
        <vertAlign val="superscript"/>
        <sz val="10"/>
        <rFont val="Arial"/>
        <family val="2"/>
      </rPr>
      <t>a</t>
    </r>
  </si>
  <si>
    <t>2010               Disposal</t>
  </si>
  <si>
    <t>2010-2035</t>
  </si>
  <si>
    <r>
      <t>Projected 2035 WWTP Plant         Increases (Pop Increase)</t>
    </r>
    <r>
      <rPr>
        <b/>
        <vertAlign val="superscript"/>
        <sz val="10"/>
        <rFont val="Arial"/>
        <family val="2"/>
      </rPr>
      <t>f</t>
    </r>
  </si>
  <si>
    <t xml:space="preserve">Projected 2035 WWTP Reductions </t>
  </si>
  <si>
    <r>
      <t>Projected 2035                   WWTP</t>
    </r>
    <r>
      <rPr>
        <b/>
        <vertAlign val="superscript"/>
        <sz val="10"/>
        <rFont val="Arial"/>
        <family val="2"/>
      </rPr>
      <t xml:space="preserve">i  </t>
    </r>
    <r>
      <rPr>
        <b/>
        <sz val="10"/>
        <rFont val="Arial"/>
        <family val="2"/>
      </rPr>
      <t xml:space="preserve">                                  </t>
    </r>
  </si>
  <si>
    <t xml:space="preserve">Projected 2035             WWTP Levels                                    </t>
  </si>
  <si>
    <r>
      <t>Planned           2010 to 2020 Reuse</t>
    </r>
    <r>
      <rPr>
        <b/>
        <vertAlign val="superscript"/>
        <sz val="10"/>
        <rFont val="Arial"/>
        <family val="2"/>
      </rPr>
      <t>k</t>
    </r>
  </si>
  <si>
    <t xml:space="preserve">Projected 2035                   Reuse                                    </t>
  </si>
  <si>
    <t>Post 2010-2035</t>
  </si>
  <si>
    <t>Benefit Total</t>
  </si>
  <si>
    <t>Projected 2035</t>
  </si>
  <si>
    <t>Projected AWT %</t>
  </si>
  <si>
    <t>(percent)</t>
  </si>
  <si>
    <t>Desoto Co WWTF</t>
  </si>
  <si>
    <r>
      <t>(</t>
    </r>
    <r>
      <rPr>
        <b/>
        <sz val="8"/>
        <rFont val="Arial"/>
        <family val="2"/>
      </rPr>
      <t>SWUCA/NTB/CFWI</t>
    </r>
    <r>
      <rPr>
        <b/>
        <sz val="10"/>
        <rFont val="Arial"/>
        <family val="2"/>
      </rPr>
      <t>)</t>
    </r>
  </si>
  <si>
    <t>Sarasota County/Aquasource – Fruitville</t>
  </si>
  <si>
    <t>Tampa, City of/Howard F. Curren (includes Temple Terrace)</t>
  </si>
  <si>
    <t>Airport /Hernando Co.</t>
  </si>
  <si>
    <t>Citrus-Citrus Springs</t>
  </si>
  <si>
    <t>1 = Data obtained from the FDEP 2010 Reuse Inventory, FDEP 2011. (some systems outside District send flows into District)</t>
  </si>
  <si>
    <t xml:space="preserve">e = Data Derived through draft SWFWMD 2015 RWSP sewer system population increase estimate (based upon BEBR, 2013 Statistics), note: Actual 2030 flows for individual treatment plants may vary, based upon actual development within individual service areas. </t>
  </si>
  <si>
    <t xml:space="preserve">f = Projected data is actual 2010 WWTP Capacity and Flows plus anticipated flows from projected population increase (@84 gpdpp).  Estimates of 84gpdpp wwtp from 69.3 gpdpp residential average (Vickers, 2001) plus 14.7 gpdpp estimates of average per person business and industry wastewater inputs (Reiss, 2009), and CFWI 2013 Draft Report. </t>
  </si>
  <si>
    <t>h = Data obtained through 2014 SWFWMD survey of individual utilities Inflow and Infiltration reduction programs (I&amp;I)</t>
  </si>
  <si>
    <t>i = Projected data is actual 2010 WWTP Capacity and Flows plus anticipated flows from projected projected population increases, minus decreases from I&amp;I and indoor conservation</t>
  </si>
  <si>
    <t>k - Additional 2010-2020 reuse development may occur in systems, however the amounts listed are known and funded as of 2015.</t>
  </si>
  <si>
    <t>l - Additional 2010-2035 population increase including residents which are sewered (wwtps and package plants) and septic systems.</t>
  </si>
  <si>
    <t>m= The Town of Dundee will need to sewer all x of the projected population increase, plus retrofit y single family homes from septic to sewer to obtain the Z mgd of reuse indentified by the Town.</t>
  </si>
  <si>
    <t>Walden Woods MHP</t>
  </si>
  <si>
    <t>Marion Summer Glenn (Decom 2013)</t>
  </si>
  <si>
    <t>Marion Landing</t>
  </si>
  <si>
    <t>CAX Riverside</t>
  </si>
  <si>
    <t xml:space="preserve">Outdoor Resorts Orlando </t>
  </si>
  <si>
    <t>CFWI</t>
  </si>
  <si>
    <t>Polk County Central</t>
  </si>
  <si>
    <t>Polk County Utilities/East-Waverly</t>
  </si>
  <si>
    <t xml:space="preserve">Wauchula Hills </t>
  </si>
  <si>
    <t>Sebring Airport</t>
  </si>
  <si>
    <t>Sebring Western</t>
  </si>
  <si>
    <t>Sun N Lake of Sebring Unit 4</t>
  </si>
  <si>
    <t>Central Sumter Util (Villages) (future flows from Lake Co.)</t>
  </si>
  <si>
    <t>Rainbow Springs (includes Rio Vista)</t>
  </si>
  <si>
    <t>Berkeley Manor/Hernando Co. (decom 2013, flows to Glen)</t>
  </si>
  <si>
    <t>Brookridge/Hernando Co. (to decom 2016, flows to Glen)</t>
  </si>
  <si>
    <t>Weeki Wachee (decom 2013, flows to Glen)</t>
  </si>
  <si>
    <t>Ocala #3 (includes 0.34 from #1)</t>
  </si>
  <si>
    <t>SWFWMD Reuse Inventory 2010-2035 RWSP</t>
  </si>
  <si>
    <t>Utilization @ 70% (unless noted)</t>
  </si>
  <si>
    <t>Utilization @ 70%   (unless noted)</t>
  </si>
  <si>
    <t>Benefit @ 70%           (unless noted)</t>
  </si>
  <si>
    <t>RAC</t>
  </si>
  <si>
    <t>Flows to go to Oak Run</t>
  </si>
  <si>
    <t>Decom</t>
  </si>
  <si>
    <t>Utilization @ 70%</t>
  </si>
  <si>
    <t>Benefit @ 70%</t>
  </si>
  <si>
    <t>o=Projected population &amp; wwtp flows per 2013 CFWI estimates</t>
  </si>
  <si>
    <t>To Glen WWTP</t>
  </si>
  <si>
    <t>To Glen and Airport WWTP</t>
  </si>
  <si>
    <t>included in below</t>
  </si>
  <si>
    <t>GC,RES,R/A/C</t>
  </si>
  <si>
    <t>GC,RES, R/A/C</t>
  </si>
  <si>
    <t>RES,GC,R/A/C</t>
  </si>
  <si>
    <t>GC, R/A/C, RES</t>
  </si>
  <si>
    <t xml:space="preserve">RES, R/A/C, GC, </t>
  </si>
  <si>
    <t>GC, RES, R/A/C IND</t>
  </si>
  <si>
    <t>IND, R/A/C, RES</t>
  </si>
  <si>
    <t>GC, RES,R/A/C</t>
  </si>
  <si>
    <t>GC, R/A/C,RES</t>
  </si>
  <si>
    <t>GC, AGR,R/A/C, RES</t>
  </si>
  <si>
    <t>AGR, R/A/C, GC,RES</t>
  </si>
  <si>
    <t>AGR, GC, R/A/C,RES</t>
  </si>
  <si>
    <t>IND, R/A/C, GC</t>
  </si>
  <si>
    <t>Included in Above</t>
  </si>
  <si>
    <t>Sarasota County/Bee Ridge/North</t>
  </si>
  <si>
    <t>GC, RES, R/A/C,</t>
  </si>
  <si>
    <t>1,j, L468</t>
  </si>
  <si>
    <t>1, N358</t>
  </si>
  <si>
    <t>1,N242</t>
  </si>
  <si>
    <t>1,WC02</t>
  </si>
  <si>
    <t>1,c, N673</t>
  </si>
  <si>
    <t>1,j, N650, N279, N596</t>
  </si>
  <si>
    <t>1,j, L786</t>
  </si>
  <si>
    <t>1,j,n, L169</t>
  </si>
  <si>
    <t>1,j, L816, N552</t>
  </si>
  <si>
    <t>1, N521</t>
  </si>
  <si>
    <t>*1,j, N601, N287, N652</t>
  </si>
  <si>
    <t>1,j, N471</t>
  </si>
  <si>
    <t>1, N370</t>
  </si>
  <si>
    <t>1,j, L823</t>
  </si>
  <si>
    <t>1,j, N672</t>
  </si>
  <si>
    <t>1,jN461</t>
  </si>
  <si>
    <t xml:space="preserve">*1, L695, L254, N665, L810, N561, N169, N179, N095, </t>
  </si>
  <si>
    <t>1,j, N555</t>
  </si>
  <si>
    <t>1,j, N212, L821, N398</t>
  </si>
  <si>
    <t>1,j,n, K682</t>
  </si>
  <si>
    <t>1, N494, N258</t>
  </si>
  <si>
    <t>1, N536</t>
  </si>
  <si>
    <t>1,j, N065</t>
  </si>
  <si>
    <t>1,j, N335</t>
  </si>
  <si>
    <t>*1, H076</t>
  </si>
  <si>
    <t>1, H076</t>
  </si>
  <si>
    <t>*1,j,n, H076</t>
  </si>
  <si>
    <t>1,j, N024</t>
  </si>
  <si>
    <t>1,j, H076</t>
  </si>
  <si>
    <t>1,j, N286, N339</t>
  </si>
  <si>
    <t>1,j, L153</t>
  </si>
  <si>
    <t>*1,j, H086</t>
  </si>
  <si>
    <t>*1,j, N344, N488</t>
  </si>
  <si>
    <t>*1,j, H093</t>
  </si>
  <si>
    <t>1, L608</t>
  </si>
  <si>
    <t>1,j, N084, N277, N667</t>
  </si>
  <si>
    <t>1, K269</t>
  </si>
  <si>
    <t>1, N381</t>
  </si>
  <si>
    <t>1,j, N355</t>
  </si>
  <si>
    <t>1,j,n, N452, N512, N604</t>
  </si>
  <si>
    <t>*1, H085, H027</t>
  </si>
  <si>
    <t>*1, N556</t>
  </si>
  <si>
    <t>1,j, N218</t>
  </si>
  <si>
    <t>1, N327, N346</t>
  </si>
  <si>
    <t>n= Projected utilization and or offsets higher than 70%.</t>
  </si>
  <si>
    <t>b = The District does not consider most Rapid Infiltration Basins (RIBs), some "At Treatment Plant" uses, Sprayfields, or some OTHER uses as beneficial reuse.</t>
  </si>
  <si>
    <t>g = Data estimated at 6% percent average wastewater reductions from 2010 baseline due to potential indoor water conservation and resulting sewer flow reductions</t>
  </si>
  <si>
    <t>1, c</t>
  </si>
  <si>
    <t>"Letter followed by 3 digit number"= District Co-funding project</t>
  </si>
  <si>
    <t>p=modified projections based upon updated actual data</t>
  </si>
  <si>
    <t>1, N336, p</t>
  </si>
  <si>
    <t>4-9-15 Draft</t>
  </si>
  <si>
    <t>4-9-2015 Draft</t>
  </si>
  <si>
    <t>KEY    4-9-15 Draft</t>
  </si>
  <si>
    <t>q= includes 0.14 mgd environmental enhancement at oak hill</t>
  </si>
  <si>
    <t>1, H090, N304, q</t>
  </si>
  <si>
    <t>*1,j, H056, N649, H041, H055, H067, H092, L729, N157, N380, N429, N442, N462, N464, N470, N524, N547, N629, N666, N670, N630, N635</t>
  </si>
  <si>
    <t>Sandalhaven Utilities (decom 2016)</t>
  </si>
  <si>
    <t xml:space="preserve">Appendix 4 Table 4-1.  SWFWMD RWSP 2015, Reclaimed Water 2010-2035 </t>
  </si>
  <si>
    <t>Spring Hill/Hernando Co. (to decom 2017, flows to Airport and Glen)</t>
  </si>
  <si>
    <t xml:space="preserve">POLK (see also CFWI)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</si>
</sst>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00"/>
  </numFmts>
  <fonts count="47">
    <font>
      <sz val="10"/>
      <name val="Arial"/>
      <family val="0"/>
    </font>
    <font>
      <sz val="12"/>
      <name val="Arial"/>
      <family val="2"/>
    </font>
    <font>
      <b/>
      <sz val="12"/>
      <name val="Arial"/>
      <family val="2"/>
    </font>
    <font>
      <b/>
      <sz val="10"/>
      <name val="Arial"/>
      <family val="2"/>
    </font>
    <font>
      <sz val="5"/>
      <name val="Arial"/>
      <family val="2"/>
    </font>
    <font>
      <sz val="9"/>
      <name val="Arial"/>
      <family val="2"/>
    </font>
    <font>
      <b/>
      <u val="single"/>
      <sz val="10"/>
      <name val="Arial"/>
      <family val="2"/>
    </font>
    <font>
      <b/>
      <vertAlign val="superscript"/>
      <sz val="10"/>
      <name val="Arial"/>
      <family val="2"/>
    </font>
    <font>
      <b/>
      <sz val="8"/>
      <name val="Arial"/>
      <family val="2"/>
    </font>
    <font>
      <sz val="14"/>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W1)"/>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rgb="FFCC3399"/>
        <bgColor indexed="64"/>
      </patternFill>
    </fill>
    <fill>
      <patternFill patternType="solid">
        <fgColor theme="0" tint="-0.04997999966144562"/>
        <bgColor indexed="64"/>
      </patternFill>
    </fill>
    <fill>
      <patternFill patternType="solid">
        <fgColor rgb="FF92D050"/>
        <bgColor indexed="64"/>
      </patternFill>
    </fill>
    <fill>
      <patternFill patternType="solid">
        <fgColor theme="5" tint="0.3999499976634979"/>
        <bgColor indexed="64"/>
      </patternFill>
    </fill>
    <fill>
      <patternFill patternType="solid">
        <fgColor theme="7" tint="0.3999499976634979"/>
        <bgColor indexed="64"/>
      </patternFill>
    </fill>
    <fill>
      <patternFill patternType="solid">
        <fgColor rgb="FFFF0066"/>
        <bgColor indexed="64"/>
      </patternFill>
    </fill>
    <fill>
      <patternFill patternType="solid">
        <fgColor rgb="FF00B0F0"/>
        <bgColor indexed="64"/>
      </patternFill>
    </fill>
    <fill>
      <patternFill patternType="solid">
        <fgColor rgb="FF00B05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medium"/>
      <bottom style="medium"/>
    </border>
    <border>
      <left style="thin"/>
      <right>
        <color indexed="63"/>
      </right>
      <top style="thin"/>
      <bottom style="thin"/>
    </border>
    <border>
      <left style="thin"/>
      <right>
        <color indexed="63"/>
      </right>
      <top style="medium"/>
      <bottom style="medium"/>
    </border>
    <border>
      <left style="thin"/>
      <right style="thin"/>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1">
    <xf numFmtId="0" fontId="0" fillId="0" borderId="0" xfId="0" applyAlignment="1">
      <alignment/>
    </xf>
    <xf numFmtId="0" fontId="1" fillId="0" borderId="0" xfId="0" applyFont="1" applyAlignment="1">
      <alignment horizontal="justify"/>
    </xf>
    <xf numFmtId="0" fontId="0" fillId="0" borderId="0" xfId="0" applyFont="1" applyAlignment="1">
      <alignment/>
    </xf>
    <xf numFmtId="0" fontId="5" fillId="0" borderId="0" xfId="0" applyFont="1" applyAlignment="1">
      <alignment horizontal="justify"/>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1" fillId="0" borderId="0" xfId="0" applyFont="1" applyBorder="1" applyAlignment="1">
      <alignment horizontal="center" vertical="top" wrapText="1"/>
    </xf>
    <xf numFmtId="0" fontId="6" fillId="0" borderId="0" xfId="0" applyFont="1" applyAlignment="1">
      <alignment/>
    </xf>
    <xf numFmtId="0" fontId="0" fillId="0" borderId="0" xfId="0" applyFont="1" applyAlignment="1">
      <alignment/>
    </xf>
    <xf numFmtId="0" fontId="5" fillId="0" borderId="0" xfId="0" applyFont="1" applyAlignment="1">
      <alignment/>
    </xf>
    <xf numFmtId="0" fontId="3" fillId="0" borderId="10" xfId="0" applyFont="1" applyBorder="1" applyAlignment="1">
      <alignment horizontal="center" vertical="top" wrapText="1"/>
    </xf>
    <xf numFmtId="0" fontId="3" fillId="33"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3" borderId="10" xfId="0" applyFont="1" applyFill="1" applyBorder="1" applyAlignment="1">
      <alignment vertical="top" wrapText="1"/>
    </xf>
    <xf numFmtId="0" fontId="3" fillId="35" borderId="10" xfId="0" applyFont="1" applyFill="1" applyBorder="1" applyAlignment="1">
      <alignment horizontal="left" vertical="top" wrapText="1"/>
    </xf>
    <xf numFmtId="0" fontId="1" fillId="35"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2" fontId="0" fillId="0" borderId="10" xfId="0" applyNumberFormat="1" applyFont="1" applyBorder="1" applyAlignment="1">
      <alignment horizontal="center" vertical="top" wrapText="1"/>
    </xf>
    <xf numFmtId="2" fontId="3" fillId="33" borderId="10" xfId="0" applyNumberFormat="1" applyFont="1" applyFill="1" applyBorder="1" applyAlignment="1">
      <alignment horizontal="center" vertical="top"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2" fontId="0"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2" fontId="3" fillId="0" borderId="13" xfId="0" applyNumberFormat="1" applyFont="1" applyBorder="1" applyAlignment="1">
      <alignment horizontal="center" vertical="top" wrapText="1"/>
    </xf>
    <xf numFmtId="0" fontId="3" fillId="0" borderId="14" xfId="0" applyFont="1" applyBorder="1" applyAlignment="1">
      <alignment horizontal="center" vertical="top" wrapText="1"/>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3" fillId="0" borderId="13" xfId="0" applyFont="1" applyFill="1" applyBorder="1" applyAlignment="1">
      <alignment horizontal="center" vertical="top" wrapText="1"/>
    </xf>
    <xf numFmtId="2" fontId="3" fillId="0" borderId="13" xfId="0" applyNumberFormat="1" applyFont="1" applyFill="1" applyBorder="1" applyAlignment="1">
      <alignment horizontal="center" vertical="top" wrapText="1"/>
    </xf>
    <xf numFmtId="0" fontId="0" fillId="0" borderId="14"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justify"/>
    </xf>
    <xf numFmtId="2" fontId="0" fillId="34" borderId="10" xfId="0" applyNumberFormat="1" applyFont="1" applyFill="1" applyBorder="1" applyAlignment="1">
      <alignment horizontal="center" vertical="top" wrapText="1"/>
    </xf>
    <xf numFmtId="2" fontId="3" fillId="0" borderId="10"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36"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0" fillId="0" borderId="11" xfId="0" applyFont="1" applyFill="1" applyBorder="1" applyAlignment="1">
      <alignment horizontal="center" vertical="top" wrapText="1"/>
    </xf>
    <xf numFmtId="2" fontId="0" fillId="33" borderId="10" xfId="0" applyNumberFormat="1" applyFont="1" applyFill="1" applyBorder="1" applyAlignment="1">
      <alignment horizontal="center" vertical="top" wrapText="1"/>
    </xf>
    <xf numFmtId="2" fontId="0" fillId="36" borderId="10" xfId="0" applyNumberFormat="1" applyFont="1" applyFill="1" applyBorder="1" applyAlignment="1">
      <alignment horizontal="center" vertical="top" wrapText="1"/>
    </xf>
    <xf numFmtId="2" fontId="3" fillId="36" borderId="13"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2" fontId="0" fillId="0" borderId="10" xfId="0" applyNumberFormat="1" applyFont="1" applyFill="1" applyBorder="1" applyAlignment="1">
      <alignment horizontal="center" vertical="top" wrapText="1"/>
    </xf>
    <xf numFmtId="2" fontId="1" fillId="35" borderId="10" xfId="0" applyNumberFormat="1" applyFont="1" applyFill="1" applyBorder="1" applyAlignment="1">
      <alignment horizontal="center" vertical="top" wrapText="1"/>
    </xf>
    <xf numFmtId="2" fontId="0" fillId="35" borderId="10" xfId="0" applyNumberFormat="1" applyFont="1" applyFill="1" applyBorder="1" applyAlignment="1">
      <alignment horizontal="center" vertical="top" wrapText="1"/>
    </xf>
    <xf numFmtId="2" fontId="3" fillId="35" borderId="10" xfId="0" applyNumberFormat="1" applyFont="1" applyFill="1" applyBorder="1" applyAlignment="1">
      <alignment horizontal="center" vertical="top" wrapText="1"/>
    </xf>
    <xf numFmtId="0" fontId="3" fillId="37" borderId="10" xfId="0" applyFont="1" applyFill="1" applyBorder="1" applyAlignment="1">
      <alignment horizontal="left" vertical="top" wrapText="1"/>
    </xf>
    <xf numFmtId="0" fontId="1" fillId="37" borderId="10" xfId="0" applyFont="1" applyFill="1" applyBorder="1" applyAlignment="1">
      <alignment horizontal="center" vertical="top" wrapText="1"/>
    </xf>
    <xf numFmtId="0" fontId="2" fillId="37" borderId="10" xfId="0" applyFont="1" applyFill="1" applyBorder="1" applyAlignment="1">
      <alignment horizontal="center" vertical="top" wrapText="1"/>
    </xf>
    <xf numFmtId="0" fontId="3" fillId="38" borderId="10" xfId="0" applyFont="1" applyFill="1" applyBorder="1" applyAlignment="1">
      <alignment horizontal="center" vertical="top" wrapText="1"/>
    </xf>
    <xf numFmtId="2" fontId="0" fillId="38" borderId="10" xfId="0" applyNumberFormat="1" applyFont="1" applyFill="1" applyBorder="1" applyAlignment="1">
      <alignment horizontal="center" vertical="top" wrapText="1"/>
    </xf>
    <xf numFmtId="2" fontId="0" fillId="38" borderId="11" xfId="0" applyNumberFormat="1" applyFont="1" applyFill="1" applyBorder="1" applyAlignment="1">
      <alignment horizontal="center" vertical="top" wrapText="1"/>
    </xf>
    <xf numFmtId="2" fontId="3" fillId="38" borderId="13" xfId="0" applyNumberFormat="1" applyFont="1" applyFill="1" applyBorder="1" applyAlignment="1">
      <alignment horizontal="center" vertical="top" wrapText="1"/>
    </xf>
    <xf numFmtId="0" fontId="3" fillId="39" borderId="10" xfId="0" applyFont="1" applyFill="1" applyBorder="1" applyAlignment="1">
      <alignment horizontal="center" vertical="top" wrapText="1"/>
    </xf>
    <xf numFmtId="2" fontId="0" fillId="39" borderId="10" xfId="0" applyNumberFormat="1" applyFont="1" applyFill="1" applyBorder="1" applyAlignment="1">
      <alignment horizontal="center" vertical="top" wrapText="1"/>
    </xf>
    <xf numFmtId="0" fontId="9" fillId="0" borderId="0" xfId="0" applyFont="1" applyAlignment="1">
      <alignment/>
    </xf>
    <xf numFmtId="0" fontId="1" fillId="0" borderId="10" xfId="0" applyFont="1" applyBorder="1" applyAlignment="1">
      <alignment horizontal="justify" vertical="top" wrapText="1"/>
    </xf>
    <xf numFmtId="0" fontId="3" fillId="0" borderId="17" xfId="0" applyFont="1" applyBorder="1" applyAlignment="1">
      <alignment horizontal="left" vertical="top" wrapText="1"/>
    </xf>
    <xf numFmtId="0" fontId="3" fillId="0" borderId="10" xfId="0" applyFont="1" applyBorder="1" applyAlignment="1">
      <alignment horizontal="justify" vertical="top" wrapText="1"/>
    </xf>
    <xf numFmtId="3" fontId="1" fillId="35" borderId="10" xfId="0" applyNumberFormat="1" applyFont="1" applyFill="1" applyBorder="1" applyAlignment="1">
      <alignment horizontal="center" vertical="top" wrapText="1"/>
    </xf>
    <xf numFmtId="0" fontId="3" fillId="7" borderId="10" xfId="0" applyFont="1" applyFill="1" applyBorder="1" applyAlignment="1">
      <alignment horizontal="center" vertical="top" wrapText="1"/>
    </xf>
    <xf numFmtId="3" fontId="0" fillId="7" borderId="11" xfId="0" applyNumberFormat="1" applyFont="1" applyFill="1" applyBorder="1" applyAlignment="1">
      <alignment horizontal="center" vertical="top" wrapText="1"/>
    </xf>
    <xf numFmtId="0" fontId="0" fillId="7" borderId="10" xfId="0" applyFont="1" applyFill="1" applyBorder="1" applyAlignment="1">
      <alignment horizontal="center" vertical="top" wrapText="1"/>
    </xf>
    <xf numFmtId="2" fontId="0" fillId="40" borderId="10" xfId="0" applyNumberFormat="1" applyFont="1" applyFill="1" applyBorder="1" applyAlignment="1">
      <alignment horizontal="center" vertical="top" wrapText="1"/>
    </xf>
    <xf numFmtId="0" fontId="3" fillId="0" borderId="0" xfId="0" applyFont="1" applyBorder="1" applyAlignment="1">
      <alignment horizontal="center" vertical="top" wrapText="1"/>
    </xf>
    <xf numFmtId="3" fontId="3" fillId="7" borderId="0" xfId="0" applyNumberFormat="1" applyFont="1" applyFill="1" applyBorder="1" applyAlignment="1">
      <alignment horizontal="center" vertical="top" wrapText="1"/>
    </xf>
    <xf numFmtId="9" fontId="3" fillId="7" borderId="0" xfId="0" applyNumberFormat="1" applyFont="1" applyFill="1" applyBorder="1" applyAlignment="1">
      <alignment horizontal="center" vertical="top" wrapText="1"/>
    </xf>
    <xf numFmtId="2" fontId="3" fillId="40" borderId="0" xfId="0" applyNumberFormat="1" applyFont="1" applyFill="1" applyBorder="1" applyAlignment="1">
      <alignment horizontal="center" vertical="top" wrapText="1"/>
    </xf>
    <xf numFmtId="0" fontId="3" fillId="40" borderId="0" xfId="0" applyFont="1" applyFill="1" applyBorder="1" applyAlignment="1">
      <alignment horizontal="center" vertical="top" wrapText="1"/>
    </xf>
    <xf numFmtId="0" fontId="3" fillId="40" borderId="0" xfId="0" applyFont="1" applyFill="1" applyBorder="1" applyAlignment="1">
      <alignment horizontal="left" vertical="top" wrapText="1"/>
    </xf>
    <xf numFmtId="0" fontId="10"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 fillId="0" borderId="11" xfId="0" applyFont="1" applyBorder="1" applyAlignment="1">
      <alignment horizontal="center" vertical="top" wrapText="1"/>
    </xf>
    <xf numFmtId="0" fontId="3" fillId="41" borderId="11" xfId="0" applyFont="1" applyFill="1" applyBorder="1" applyAlignment="1">
      <alignment horizontal="center" vertical="top" wrapText="1"/>
    </xf>
    <xf numFmtId="9" fontId="3" fillId="40" borderId="0" xfId="0" applyNumberFormat="1" applyFont="1" applyFill="1" applyBorder="1" applyAlignment="1">
      <alignment horizontal="center" vertical="top" wrapText="1"/>
    </xf>
    <xf numFmtId="3" fontId="3" fillId="40" borderId="0"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3" fillId="41" borderId="11" xfId="0" applyNumberFormat="1" applyFont="1" applyFill="1" applyBorder="1" applyAlignment="1">
      <alignment horizontal="center" vertical="top" wrapText="1"/>
    </xf>
    <xf numFmtId="2" fontId="3" fillId="41" borderId="13" xfId="0" applyNumberFormat="1" applyFont="1" applyFill="1" applyBorder="1" applyAlignment="1">
      <alignment horizontal="center" vertical="top" wrapText="1"/>
    </xf>
    <xf numFmtId="4" fontId="0" fillId="0" borderId="10" xfId="0" applyNumberFormat="1" applyFont="1" applyBorder="1" applyAlignment="1">
      <alignment horizontal="center" vertical="top" wrapText="1"/>
    </xf>
    <xf numFmtId="2" fontId="3" fillId="17" borderId="11" xfId="0" applyNumberFormat="1" applyFont="1" applyFill="1" applyBorder="1" applyAlignment="1">
      <alignment horizontal="center" vertical="top" wrapText="1"/>
    </xf>
    <xf numFmtId="2" fontId="3" fillId="17" borderId="13" xfId="0" applyNumberFormat="1" applyFont="1" applyFill="1" applyBorder="1" applyAlignment="1">
      <alignment horizontal="center" vertical="top" wrapText="1"/>
    </xf>
    <xf numFmtId="0" fontId="3" fillId="9" borderId="10" xfId="0" applyFont="1" applyFill="1" applyBorder="1" applyAlignment="1">
      <alignment horizontal="center" vertical="top" wrapText="1"/>
    </xf>
    <xf numFmtId="0" fontId="3" fillId="42" borderId="10" xfId="0" applyFont="1" applyFill="1" applyBorder="1" applyAlignment="1">
      <alignment horizontal="center" vertical="top" wrapText="1"/>
    </xf>
    <xf numFmtId="0" fontId="3" fillId="18" borderId="10" xfId="0" applyFont="1" applyFill="1" applyBorder="1" applyAlignment="1">
      <alignment horizontal="center" vertical="top" wrapText="1"/>
    </xf>
    <xf numFmtId="0" fontId="3" fillId="43" borderId="10" xfId="0" applyFont="1" applyFill="1" applyBorder="1" applyAlignment="1">
      <alignment horizontal="left" vertical="top" wrapText="1"/>
    </xf>
    <xf numFmtId="0" fontId="3" fillId="43" borderId="10" xfId="0" applyFont="1" applyFill="1" applyBorder="1" applyAlignment="1">
      <alignment horizontal="center" vertical="top" wrapText="1"/>
    </xf>
    <xf numFmtId="2" fontId="3" fillId="43" borderId="10" xfId="0" applyNumberFormat="1" applyFont="1" applyFill="1" applyBorder="1" applyAlignment="1">
      <alignment horizontal="center" vertical="top" wrapText="1"/>
    </xf>
    <xf numFmtId="0" fontId="3" fillId="0" borderId="0" xfId="0" applyFont="1" applyAlignment="1">
      <alignment/>
    </xf>
    <xf numFmtId="1" fontId="3" fillId="0" borderId="13" xfId="0" applyNumberFormat="1" applyFont="1" applyBorder="1" applyAlignment="1">
      <alignment horizontal="center" vertical="top" wrapText="1"/>
    </xf>
    <xf numFmtId="0" fontId="3" fillId="17" borderId="10" xfId="0"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0" fontId="3" fillId="44" borderId="10" xfId="0" applyFont="1" applyFill="1" applyBorder="1" applyAlignment="1">
      <alignment horizontal="center" vertical="top" wrapText="1"/>
    </xf>
    <xf numFmtId="0" fontId="3" fillId="41" borderId="10" xfId="0" applyFont="1" applyFill="1" applyBorder="1" applyAlignment="1">
      <alignment horizontal="center" vertical="top" wrapText="1"/>
    </xf>
    <xf numFmtId="0" fontId="5" fillId="0" borderId="0" xfId="0" applyFont="1" applyAlignment="1">
      <alignment/>
    </xf>
    <xf numFmtId="0" fontId="3" fillId="45" borderId="10" xfId="0" applyFont="1" applyFill="1" applyBorder="1" applyAlignment="1">
      <alignment horizontal="center" vertical="top" wrapText="1"/>
    </xf>
    <xf numFmtId="0" fontId="3" fillId="24" borderId="10" xfId="0" applyFont="1" applyFill="1" applyBorder="1" applyAlignment="1">
      <alignment horizontal="center" vertical="top" wrapText="1"/>
    </xf>
    <xf numFmtId="0" fontId="3" fillId="46" borderId="10" xfId="0" applyFont="1" applyFill="1" applyBorder="1" applyAlignment="1">
      <alignment horizontal="center" vertical="top" wrapText="1"/>
    </xf>
    <xf numFmtId="0" fontId="0" fillId="40" borderId="10" xfId="0" applyFont="1" applyFill="1" applyBorder="1" applyAlignment="1">
      <alignment horizontal="center" vertical="top" wrapText="1"/>
    </xf>
    <xf numFmtId="0" fontId="3" fillId="47" borderId="10" xfId="0" applyFont="1" applyFill="1" applyBorder="1" applyAlignment="1">
      <alignment horizontal="center" vertical="top" wrapText="1"/>
    </xf>
    <xf numFmtId="0" fontId="3" fillId="48" borderId="10" xfId="0" applyFont="1" applyFill="1" applyBorder="1" applyAlignment="1">
      <alignment horizontal="center" vertical="top" wrapText="1"/>
    </xf>
    <xf numFmtId="0" fontId="3" fillId="49" borderId="10" xfId="0" applyFont="1" applyFill="1" applyBorder="1" applyAlignment="1">
      <alignment horizontal="center" vertical="top" wrapText="1"/>
    </xf>
    <xf numFmtId="2" fontId="3" fillId="40" borderId="10" xfId="0" applyNumberFormat="1" applyFont="1" applyFill="1" applyBorder="1" applyAlignment="1">
      <alignment horizontal="center" vertical="top" wrapText="1"/>
    </xf>
    <xf numFmtId="0" fontId="0" fillId="40" borderId="0" xfId="0" applyFont="1" applyFill="1" applyBorder="1" applyAlignment="1">
      <alignment horizontal="left" vertical="top" wrapText="1"/>
    </xf>
    <xf numFmtId="0" fontId="3" fillId="6" borderId="10" xfId="0" applyFont="1" applyFill="1" applyBorder="1" applyAlignment="1">
      <alignment horizontal="center" vertical="top" wrapText="1"/>
    </xf>
    <xf numFmtId="0" fontId="3" fillId="48" borderId="18" xfId="0" applyFont="1" applyFill="1" applyBorder="1" applyAlignment="1">
      <alignment horizontal="center" vertical="top" wrapText="1"/>
    </xf>
    <xf numFmtId="0" fontId="0" fillId="0" borderId="10" xfId="0" applyFont="1" applyFill="1" applyBorder="1" applyAlignment="1">
      <alignment horizontal="left" vertical="top" wrapText="1"/>
    </xf>
    <xf numFmtId="2" fontId="5" fillId="39" borderId="10" xfId="0" applyNumberFormat="1" applyFont="1" applyFill="1" applyBorder="1" applyAlignment="1">
      <alignment horizontal="center" vertical="top" wrapText="1"/>
    </xf>
    <xf numFmtId="2" fontId="0" fillId="39" borderId="11" xfId="0" applyNumberFormat="1" applyFont="1" applyFill="1" applyBorder="1" applyAlignment="1">
      <alignment horizontal="center" vertical="top" wrapText="1"/>
    </xf>
    <xf numFmtId="2" fontId="3" fillId="39" borderId="13" xfId="0" applyNumberFormat="1" applyFont="1" applyFill="1" applyBorder="1" applyAlignment="1">
      <alignment horizontal="center" vertical="top" wrapText="1"/>
    </xf>
    <xf numFmtId="2" fontId="3" fillId="42" borderId="11" xfId="0" applyNumberFormat="1" applyFont="1" applyFill="1" applyBorder="1" applyAlignment="1">
      <alignment horizontal="center" vertical="top" wrapText="1"/>
    </xf>
    <xf numFmtId="2" fontId="3" fillId="42" borderId="13" xfId="0" applyNumberFormat="1" applyFont="1" applyFill="1" applyBorder="1" applyAlignment="1">
      <alignment horizontal="center" vertical="top" wrapText="1"/>
    </xf>
    <xf numFmtId="0" fontId="0" fillId="39" borderId="10" xfId="0" applyFont="1" applyFill="1" applyBorder="1" applyAlignment="1">
      <alignment vertical="top" wrapText="1"/>
    </xf>
    <xf numFmtId="2" fontId="3" fillId="47" borderId="10" xfId="0" applyNumberFormat="1" applyFont="1" applyFill="1" applyBorder="1" applyAlignment="1">
      <alignment horizontal="center" vertical="top" wrapText="1"/>
    </xf>
    <xf numFmtId="2" fontId="3" fillId="47" borderId="13" xfId="0" applyNumberFormat="1" applyFont="1" applyFill="1" applyBorder="1" applyAlignment="1">
      <alignment horizontal="center" vertical="top" wrapText="1"/>
    </xf>
    <xf numFmtId="0" fontId="0" fillId="41" borderId="0" xfId="0" applyFont="1" applyFill="1" applyAlignment="1">
      <alignment/>
    </xf>
    <xf numFmtId="0" fontId="0" fillId="0" borderId="10" xfId="0" applyFont="1" applyBorder="1" applyAlignment="1">
      <alignment vertical="top" wrapText="1"/>
    </xf>
    <xf numFmtId="0" fontId="0" fillId="7" borderId="10" xfId="0" applyFont="1" applyFill="1" applyBorder="1" applyAlignment="1">
      <alignment vertical="top" wrapText="1"/>
    </xf>
    <xf numFmtId="0" fontId="0" fillId="33" borderId="10" xfId="0" applyFont="1" applyFill="1" applyBorder="1" applyAlignment="1">
      <alignment vertical="top" wrapText="1"/>
    </xf>
    <xf numFmtId="0" fontId="0" fillId="34" borderId="10" xfId="0" applyFont="1" applyFill="1" applyBorder="1" applyAlignment="1">
      <alignment vertical="top" wrapText="1"/>
    </xf>
    <xf numFmtId="0" fontId="0" fillId="36" borderId="10" xfId="0" applyFont="1" applyFill="1" applyBorder="1" applyAlignment="1">
      <alignment vertical="top" wrapText="1"/>
    </xf>
    <xf numFmtId="0" fontId="0" fillId="38" borderId="10" xfId="0" applyFont="1" applyFill="1" applyBorder="1" applyAlignment="1">
      <alignment vertical="top" wrapText="1"/>
    </xf>
    <xf numFmtId="3" fontId="0" fillId="7" borderId="10" xfId="0" applyNumberFormat="1" applyFont="1" applyFill="1" applyBorder="1" applyAlignment="1">
      <alignment horizontal="center" vertical="top" wrapText="1"/>
    </xf>
    <xf numFmtId="2" fontId="0" fillId="33" borderId="11" xfId="0" applyNumberFormat="1" applyFont="1" applyFill="1" applyBorder="1" applyAlignment="1">
      <alignment horizontal="center" vertical="top" wrapText="1"/>
    </xf>
    <xf numFmtId="2" fontId="0" fillId="34" borderId="11" xfId="0" applyNumberFormat="1" applyFont="1" applyFill="1" applyBorder="1" applyAlignment="1">
      <alignment horizontal="center" vertical="top" wrapText="1"/>
    </xf>
    <xf numFmtId="2" fontId="3" fillId="50" borderId="13" xfId="0" applyNumberFormat="1" applyFont="1" applyFill="1" applyBorder="1" applyAlignment="1">
      <alignment horizontal="center" vertical="top" wrapText="1"/>
    </xf>
    <xf numFmtId="9" fontId="3" fillId="48" borderId="13" xfId="0" applyNumberFormat="1" applyFont="1" applyFill="1" applyBorder="1" applyAlignment="1">
      <alignment horizontal="center" vertical="top" wrapText="1"/>
    </xf>
    <xf numFmtId="2" fontId="3" fillId="34" borderId="13" xfId="0" applyNumberFormat="1" applyFont="1" applyFill="1" applyBorder="1" applyAlignment="1">
      <alignment horizontal="center" vertical="top" wrapText="1"/>
    </xf>
    <xf numFmtId="0" fontId="3" fillId="36" borderId="13" xfId="0" applyFont="1" applyFill="1" applyBorder="1" applyAlignment="1">
      <alignment horizontal="center" vertical="top" wrapText="1"/>
    </xf>
    <xf numFmtId="3" fontId="3" fillId="7" borderId="13" xfId="0" applyNumberFormat="1" applyFont="1" applyFill="1" applyBorder="1" applyAlignment="1">
      <alignment horizontal="center" vertical="top" wrapText="1"/>
    </xf>
    <xf numFmtId="0" fontId="0" fillId="40" borderId="0" xfId="0" applyFont="1" applyFill="1" applyAlignment="1">
      <alignment/>
    </xf>
    <xf numFmtId="0" fontId="0" fillId="41" borderId="0" xfId="0" applyFont="1" applyFill="1" applyBorder="1" applyAlignment="1">
      <alignment horizontal="left" vertical="top" wrapText="1"/>
    </xf>
    <xf numFmtId="0" fontId="3" fillId="34" borderId="13" xfId="0" applyFont="1" applyFill="1" applyBorder="1" applyAlignment="1">
      <alignment horizontal="center" vertical="top" wrapText="1"/>
    </xf>
    <xf numFmtId="0" fontId="0" fillId="9" borderId="10" xfId="0" applyFont="1" applyFill="1" applyBorder="1" applyAlignment="1">
      <alignment vertical="top" wrapText="1"/>
    </xf>
    <xf numFmtId="0" fontId="3" fillId="44" borderId="11" xfId="0" applyFont="1" applyFill="1" applyBorder="1" applyAlignment="1">
      <alignment horizontal="center" vertical="top" wrapText="1"/>
    </xf>
    <xf numFmtId="0" fontId="3" fillId="17" borderId="11" xfId="0" applyFont="1" applyFill="1" applyBorder="1" applyAlignment="1">
      <alignment horizontal="center" vertical="top" wrapText="1"/>
    </xf>
    <xf numFmtId="0" fontId="3" fillId="9" borderId="11" xfId="0" applyFont="1" applyFill="1" applyBorder="1" applyAlignment="1">
      <alignment horizontal="center" vertical="top" wrapText="1"/>
    </xf>
    <xf numFmtId="2" fontId="3" fillId="18" borderId="11" xfId="0" applyNumberFormat="1" applyFont="1" applyFill="1" applyBorder="1" applyAlignment="1">
      <alignment horizontal="center" vertical="top" wrapText="1"/>
    </xf>
    <xf numFmtId="3" fontId="3" fillId="9" borderId="11" xfId="0" applyNumberFormat="1" applyFont="1" applyFill="1" applyBorder="1" applyAlignment="1">
      <alignment horizontal="center" vertical="top" wrapText="1"/>
    </xf>
    <xf numFmtId="2" fontId="3" fillId="44" borderId="11" xfId="0" applyNumberFormat="1" applyFont="1" applyFill="1" applyBorder="1" applyAlignment="1">
      <alignment horizontal="center" vertical="top" wrapText="1"/>
    </xf>
    <xf numFmtId="0" fontId="3" fillId="44" borderId="13" xfId="0" applyFont="1" applyFill="1" applyBorder="1" applyAlignment="1">
      <alignment horizontal="center" vertical="top" wrapText="1"/>
    </xf>
    <xf numFmtId="0" fontId="3" fillId="17" borderId="13" xfId="0" applyFont="1" applyFill="1" applyBorder="1" applyAlignment="1">
      <alignment horizontal="center" vertical="top" wrapText="1"/>
    </xf>
    <xf numFmtId="3" fontId="3" fillId="9" borderId="13" xfId="0" applyNumberFormat="1" applyFont="1" applyFill="1" applyBorder="1" applyAlignment="1">
      <alignment horizontal="center" vertical="top" wrapText="1"/>
    </xf>
    <xf numFmtId="2" fontId="3" fillId="44" borderId="13" xfId="0" applyNumberFormat="1" applyFont="1" applyFill="1" applyBorder="1" applyAlignment="1">
      <alignment horizontal="center" vertical="top" wrapText="1"/>
    </xf>
    <xf numFmtId="2" fontId="3" fillId="18" borderId="13" xfId="0" applyNumberFormat="1" applyFont="1" applyFill="1" applyBorder="1" applyAlignment="1">
      <alignment horizontal="center" vertical="top" wrapText="1"/>
    </xf>
    <xf numFmtId="9" fontId="3" fillId="9" borderId="0" xfId="0" applyNumberFormat="1" applyFont="1" applyFill="1" applyBorder="1" applyAlignment="1">
      <alignment horizontal="center" vertical="top" wrapText="1"/>
    </xf>
    <xf numFmtId="0" fontId="5" fillId="0" borderId="10" xfId="0" applyFont="1" applyBorder="1" applyAlignment="1">
      <alignment horizontal="center" vertical="top" wrapText="1"/>
    </xf>
    <xf numFmtId="3" fontId="3" fillId="43" borderId="10" xfId="0" applyNumberFormat="1" applyFont="1" applyFill="1" applyBorder="1" applyAlignment="1">
      <alignment horizontal="center" vertical="top" wrapText="1"/>
    </xf>
    <xf numFmtId="3" fontId="0" fillId="3" borderId="10"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wrapText="1"/>
    </xf>
    <xf numFmtId="2" fontId="5" fillId="0" borderId="10" xfId="0" applyNumberFormat="1" applyFont="1" applyBorder="1" applyAlignment="1">
      <alignment horizontal="center" vertical="top" wrapText="1"/>
    </xf>
    <xf numFmtId="2" fontId="5" fillId="33" borderId="10" xfId="0" applyNumberFormat="1" applyFont="1" applyFill="1" applyBorder="1" applyAlignment="1">
      <alignment horizontal="center" vertical="top" wrapText="1"/>
    </xf>
    <xf numFmtId="2" fontId="5" fillId="34" borderId="10" xfId="0" applyNumberFormat="1" applyFont="1" applyFill="1" applyBorder="1" applyAlignment="1">
      <alignment horizontal="center" vertical="top" wrapText="1"/>
    </xf>
    <xf numFmtId="2" fontId="5" fillId="36" borderId="10" xfId="0" applyNumberFormat="1" applyFont="1" applyFill="1" applyBorder="1" applyAlignment="1">
      <alignment horizontal="center" vertical="top" wrapText="1"/>
    </xf>
    <xf numFmtId="3" fontId="5" fillId="7" borderId="10" xfId="0" applyNumberFormat="1" applyFont="1" applyFill="1" applyBorder="1" applyAlignment="1">
      <alignment horizontal="center" vertical="top" wrapText="1"/>
    </xf>
    <xf numFmtId="2" fontId="5" fillId="38" borderId="10" xfId="0" applyNumberFormat="1" applyFont="1" applyFill="1" applyBorder="1" applyAlignment="1">
      <alignment horizontal="center" vertical="top" wrapText="1"/>
    </xf>
    <xf numFmtId="2" fontId="0" fillId="0" borderId="11" xfId="0" applyNumberFormat="1" applyFont="1" applyFill="1" applyBorder="1" applyAlignment="1">
      <alignment horizontal="center" vertical="top" wrapText="1"/>
    </xf>
    <xf numFmtId="2" fontId="3" fillId="38" borderId="19" xfId="0" applyNumberFormat="1" applyFont="1" applyFill="1" applyBorder="1" applyAlignment="1">
      <alignment horizontal="center" vertical="top" wrapText="1"/>
    </xf>
    <xf numFmtId="2" fontId="0" fillId="36" borderId="11" xfId="0" applyNumberFormat="1" applyFont="1" applyFill="1" applyBorder="1" applyAlignment="1">
      <alignment horizontal="center" vertical="top" wrapText="1"/>
    </xf>
    <xf numFmtId="3" fontId="0" fillId="7" borderId="13" xfId="0" applyNumberFormat="1" applyFont="1" applyFill="1" applyBorder="1" applyAlignment="1">
      <alignment horizontal="center" vertical="top" wrapText="1"/>
    </xf>
    <xf numFmtId="0" fontId="0" fillId="0" borderId="0" xfId="0" applyFont="1" applyBorder="1" applyAlignment="1">
      <alignment/>
    </xf>
    <xf numFmtId="2" fontId="3" fillId="17" borderId="20" xfId="0" applyNumberFormat="1" applyFont="1" applyFill="1" applyBorder="1" applyAlignment="1">
      <alignment horizontal="center" vertical="top" wrapText="1"/>
    </xf>
    <xf numFmtId="0" fontId="0" fillId="7" borderId="11" xfId="0" applyFont="1" applyFill="1" applyBorder="1" applyAlignment="1">
      <alignment horizontal="center" vertical="top" wrapText="1"/>
    </xf>
    <xf numFmtId="2" fontId="0" fillId="17" borderId="10" xfId="0" applyNumberFormat="1" applyFont="1" applyFill="1" applyBorder="1" applyAlignment="1">
      <alignment horizontal="center" vertical="top" wrapText="1"/>
    </xf>
    <xf numFmtId="0" fontId="3" fillId="33" borderId="13" xfId="0" applyFont="1" applyFill="1" applyBorder="1" applyAlignment="1">
      <alignment horizontal="center" vertical="top" wrapText="1"/>
    </xf>
    <xf numFmtId="4" fontId="3" fillId="40" borderId="13"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0" fontId="1" fillId="41" borderId="0" xfId="0" applyFont="1" applyFill="1" applyBorder="1" applyAlignment="1">
      <alignment/>
    </xf>
    <xf numFmtId="0" fontId="0" fillId="45" borderId="10" xfId="0" applyFont="1" applyFill="1" applyBorder="1" applyAlignment="1">
      <alignment vertical="top" wrapText="1"/>
    </xf>
    <xf numFmtId="3" fontId="3" fillId="45" borderId="10" xfId="0" applyNumberFormat="1" applyFont="1" applyFill="1" applyBorder="1" applyAlignment="1">
      <alignment horizontal="center" vertical="top" wrapText="1"/>
    </xf>
    <xf numFmtId="2" fontId="3" fillId="24" borderId="11" xfId="0" applyNumberFormat="1" applyFont="1" applyFill="1" applyBorder="1" applyAlignment="1">
      <alignment horizontal="center" vertical="top" wrapText="1"/>
    </xf>
    <xf numFmtId="3" fontId="3" fillId="45" borderId="13" xfId="0" applyNumberFormat="1" applyFont="1" applyFill="1" applyBorder="1" applyAlignment="1">
      <alignment horizontal="center" vertical="top" wrapText="1"/>
    </xf>
    <xf numFmtId="2" fontId="3" fillId="24" borderId="13" xfId="0" applyNumberFormat="1" applyFont="1" applyFill="1" applyBorder="1" applyAlignment="1">
      <alignment horizontal="center" vertical="top" wrapText="1"/>
    </xf>
    <xf numFmtId="9" fontId="3" fillId="45" borderId="0" xfId="0" applyNumberFormat="1" applyFont="1" applyFill="1" applyBorder="1" applyAlignment="1">
      <alignment horizontal="center" vertical="top" wrapText="1"/>
    </xf>
    <xf numFmtId="0" fontId="0" fillId="41" borderId="10" xfId="0" applyFont="1" applyFill="1" applyBorder="1" applyAlignment="1">
      <alignment horizontal="left" vertical="top" wrapText="1"/>
    </xf>
    <xf numFmtId="2" fontId="3" fillId="44" borderId="10" xfId="0" applyNumberFormat="1" applyFont="1" applyFill="1" applyBorder="1" applyAlignment="1">
      <alignment horizontal="center" vertical="top" wrapText="1"/>
    </xf>
    <xf numFmtId="2" fontId="3" fillId="46" borderId="10" xfId="0" applyNumberFormat="1" applyFont="1" applyFill="1" applyBorder="1" applyAlignment="1">
      <alignment horizontal="center" vertical="top" wrapText="1"/>
    </xf>
    <xf numFmtId="2" fontId="3" fillId="48" borderId="10" xfId="0" applyNumberFormat="1" applyFont="1" applyFill="1" applyBorder="1" applyAlignment="1">
      <alignment horizontal="center" vertical="top" wrapText="1"/>
    </xf>
    <xf numFmtId="2" fontId="3" fillId="41" borderId="10" xfId="0" applyNumberFormat="1" applyFont="1" applyFill="1" applyBorder="1" applyAlignment="1">
      <alignment horizontal="center" vertical="top" wrapText="1"/>
    </xf>
    <xf numFmtId="0" fontId="3" fillId="49" borderId="13" xfId="0" applyFont="1" applyFill="1" applyBorder="1" applyAlignment="1">
      <alignment horizontal="center" vertical="top" wrapText="1"/>
    </xf>
    <xf numFmtId="0" fontId="3" fillId="46" borderId="13" xfId="0" applyFont="1" applyFill="1" applyBorder="1" applyAlignment="1">
      <alignment horizontal="center" vertical="top" wrapText="1"/>
    </xf>
    <xf numFmtId="0" fontId="3" fillId="41" borderId="13" xfId="0" applyFont="1" applyFill="1" applyBorder="1" applyAlignment="1">
      <alignment horizontal="center" vertical="top" wrapText="1"/>
    </xf>
    <xf numFmtId="2" fontId="3" fillId="46" borderId="13" xfId="0" applyNumberFormat="1" applyFont="1" applyFill="1" applyBorder="1" applyAlignment="1">
      <alignment horizontal="center" vertical="top" wrapText="1"/>
    </xf>
    <xf numFmtId="2" fontId="3" fillId="48" borderId="13" xfId="0" applyNumberFormat="1" applyFont="1" applyFill="1" applyBorder="1" applyAlignment="1">
      <alignment horizontal="center" vertical="top" wrapText="1"/>
    </xf>
    <xf numFmtId="0" fontId="6" fillId="41" borderId="0" xfId="0" applyFont="1" applyFill="1" applyAlignment="1">
      <alignment horizontal="justify"/>
    </xf>
    <xf numFmtId="0" fontId="2" fillId="0" borderId="0" xfId="0" applyFont="1" applyAlignment="1">
      <alignment horizontal="center" vertical="top" wrapText="1"/>
    </xf>
    <xf numFmtId="0" fontId="5" fillId="0" borderId="0" xfId="0" applyFont="1" applyAlignment="1">
      <alignment horizontal="left"/>
    </xf>
    <xf numFmtId="0" fontId="0" fillId="0" borderId="0" xfId="0" applyFont="1" applyAlignment="1">
      <alignment horizontal="justify"/>
    </xf>
    <xf numFmtId="0" fontId="0" fillId="0" borderId="0" xfId="0" applyFont="1" applyAlignment="1">
      <alignment/>
    </xf>
    <xf numFmtId="0" fontId="3" fillId="33"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8" xfId="0" applyFont="1" applyBorder="1" applyAlignment="1">
      <alignment horizontal="center" vertical="top" wrapText="1"/>
    </xf>
    <xf numFmtId="0" fontId="0" fillId="0" borderId="18" xfId="0" applyFont="1" applyBorder="1" applyAlignment="1">
      <alignment horizontal="center" vertical="top" wrapText="1"/>
    </xf>
    <xf numFmtId="0" fontId="0" fillId="0" borderId="10" xfId="0" applyFont="1" applyBorder="1" applyAlignment="1">
      <alignment horizontal="center" vertical="top" wrapText="1"/>
    </xf>
    <xf numFmtId="0" fontId="2" fillId="0" borderId="21" xfId="0" applyFont="1" applyBorder="1" applyAlignment="1">
      <alignment horizontal="center" vertical="top" wrapText="1"/>
    </xf>
    <xf numFmtId="0" fontId="2" fillId="0" borderId="15" xfId="0" applyFont="1" applyBorder="1" applyAlignment="1">
      <alignment horizontal="center" vertical="top" wrapText="1"/>
    </xf>
    <xf numFmtId="0" fontId="2" fillId="0" borderId="22" xfId="0" applyFont="1" applyBorder="1" applyAlignment="1">
      <alignment horizontal="center" vertical="top" wrapText="1"/>
    </xf>
    <xf numFmtId="0" fontId="1" fillId="0" borderId="10" xfId="0" applyFont="1" applyBorder="1" applyAlignment="1">
      <alignment horizontal="justify" vertical="top" wrapText="1"/>
    </xf>
    <xf numFmtId="0" fontId="3" fillId="34" borderId="23"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6" borderId="10" xfId="0" applyFont="1" applyFill="1" applyBorder="1" applyAlignment="1">
      <alignment horizontal="center" vertical="top" wrapText="1"/>
    </xf>
    <xf numFmtId="0" fontId="1" fillId="41" borderId="10" xfId="0" applyFont="1" applyFill="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242</xdr:row>
      <xdr:rowOff>0</xdr:rowOff>
    </xdr:from>
    <xdr:to>
      <xdr:col>0</xdr:col>
      <xdr:colOff>0</xdr:colOff>
      <xdr:row>296</xdr:row>
      <xdr:rowOff>190500</xdr:rowOff>
    </xdr:to>
    <xdr:sp>
      <xdr:nvSpPr>
        <xdr:cNvPr id="1" name="Line 30"/>
        <xdr:cNvSpPr>
          <a:spLocks/>
        </xdr:cNvSpPr>
      </xdr:nvSpPr>
      <xdr:spPr>
        <a:xfrm>
          <a:off x="0" y="54997350"/>
          <a:ext cx="0" cy="1099185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308</xdr:row>
      <xdr:rowOff>0</xdr:rowOff>
    </xdr:from>
    <xdr:to>
      <xdr:col>0</xdr:col>
      <xdr:colOff>0</xdr:colOff>
      <xdr:row>322</xdr:row>
      <xdr:rowOff>180975</xdr:rowOff>
    </xdr:to>
    <xdr:sp>
      <xdr:nvSpPr>
        <xdr:cNvPr id="2" name="Line 26"/>
        <xdr:cNvSpPr>
          <a:spLocks/>
        </xdr:cNvSpPr>
      </xdr:nvSpPr>
      <xdr:spPr>
        <a:xfrm>
          <a:off x="0" y="67875150"/>
          <a:ext cx="0" cy="302895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342</xdr:row>
      <xdr:rowOff>161925</xdr:rowOff>
    </xdr:from>
    <xdr:to>
      <xdr:col>0</xdr:col>
      <xdr:colOff>0</xdr:colOff>
      <xdr:row>353</xdr:row>
      <xdr:rowOff>133350</xdr:rowOff>
    </xdr:to>
    <xdr:sp>
      <xdr:nvSpPr>
        <xdr:cNvPr id="3" name="Line 23"/>
        <xdr:cNvSpPr>
          <a:spLocks/>
        </xdr:cNvSpPr>
      </xdr:nvSpPr>
      <xdr:spPr>
        <a:xfrm>
          <a:off x="0" y="75028425"/>
          <a:ext cx="0" cy="23717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363</xdr:row>
      <xdr:rowOff>152400</xdr:rowOff>
    </xdr:from>
    <xdr:to>
      <xdr:col>0</xdr:col>
      <xdr:colOff>0</xdr:colOff>
      <xdr:row>366</xdr:row>
      <xdr:rowOff>0</xdr:rowOff>
    </xdr:to>
    <xdr:sp>
      <xdr:nvSpPr>
        <xdr:cNvPr id="4" name="Line 19"/>
        <xdr:cNvSpPr>
          <a:spLocks/>
        </xdr:cNvSpPr>
      </xdr:nvSpPr>
      <xdr:spPr>
        <a:xfrm>
          <a:off x="0" y="80000475"/>
          <a:ext cx="0" cy="36195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366</xdr:row>
      <xdr:rowOff>152400</xdr:rowOff>
    </xdr:from>
    <xdr:to>
      <xdr:col>0</xdr:col>
      <xdr:colOff>0</xdr:colOff>
      <xdr:row>376</xdr:row>
      <xdr:rowOff>142875</xdr:rowOff>
    </xdr:to>
    <xdr:sp>
      <xdr:nvSpPr>
        <xdr:cNvPr id="5" name="Line 15"/>
        <xdr:cNvSpPr>
          <a:spLocks/>
        </xdr:cNvSpPr>
      </xdr:nvSpPr>
      <xdr:spPr>
        <a:xfrm>
          <a:off x="0" y="80514825"/>
          <a:ext cx="0" cy="26289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389</xdr:row>
      <xdr:rowOff>161925</xdr:rowOff>
    </xdr:from>
    <xdr:to>
      <xdr:col>0</xdr:col>
      <xdr:colOff>0</xdr:colOff>
      <xdr:row>405</xdr:row>
      <xdr:rowOff>152400</xdr:rowOff>
    </xdr:to>
    <xdr:sp>
      <xdr:nvSpPr>
        <xdr:cNvPr id="6" name="Line 10"/>
        <xdr:cNvSpPr>
          <a:spLocks/>
        </xdr:cNvSpPr>
      </xdr:nvSpPr>
      <xdr:spPr>
        <a:xfrm>
          <a:off x="0" y="86067900"/>
          <a:ext cx="0" cy="35337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495</xdr:row>
      <xdr:rowOff>0</xdr:rowOff>
    </xdr:from>
    <xdr:to>
      <xdr:col>33</xdr:col>
      <xdr:colOff>0</xdr:colOff>
      <xdr:row>498</xdr:row>
      <xdr:rowOff>95250</xdr:rowOff>
    </xdr:to>
    <xdr:sp>
      <xdr:nvSpPr>
        <xdr:cNvPr id="7" name="Text Box 6"/>
        <xdr:cNvSpPr txBox="1">
          <a:spLocks noChangeArrowheads="1"/>
        </xdr:cNvSpPr>
      </xdr:nvSpPr>
      <xdr:spPr>
        <a:xfrm>
          <a:off x="32280225" y="106441875"/>
          <a:ext cx="0" cy="676275"/>
        </a:xfrm>
        <a:prstGeom prst="rect">
          <a:avLst/>
        </a:prstGeom>
        <a:noFill/>
        <a:ln w="9525" cmpd="sng">
          <a:noFill/>
        </a:ln>
      </xdr:spPr>
      <xdr:txBody>
        <a:bodyPr vertOverflow="clip" wrap="square" vert="vert"/>
        <a:p>
          <a:pPr algn="l">
            <a:defRPr/>
          </a:pPr>
          <a:r>
            <a:rPr lang="en-US" cap="none" sz="1200" b="1" i="0" u="none" baseline="0">
              <a:solidFill>
                <a:srgbClr val="000000"/>
              </a:solidFill>
              <a:latin typeface="Arial (W1)"/>
              <a:ea typeface="Arial (W1)"/>
              <a:cs typeface="Arial (W1)"/>
            </a:rPr>
            <a:t>2000 Annual Reuse Report           Appendix 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432</xdr:row>
      <xdr:rowOff>0</xdr:rowOff>
    </xdr:from>
    <xdr:to>
      <xdr:col>0</xdr:col>
      <xdr:colOff>0</xdr:colOff>
      <xdr:row>444</xdr:row>
      <xdr:rowOff>161925</xdr:rowOff>
    </xdr:to>
    <xdr:sp>
      <xdr:nvSpPr>
        <xdr:cNvPr id="8" name="Line 7"/>
        <xdr:cNvSpPr>
          <a:spLocks/>
        </xdr:cNvSpPr>
      </xdr:nvSpPr>
      <xdr:spPr>
        <a:xfrm>
          <a:off x="0" y="94830900"/>
          <a:ext cx="0" cy="28194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485</xdr:row>
      <xdr:rowOff>152400</xdr:rowOff>
    </xdr:from>
    <xdr:to>
      <xdr:col>0</xdr:col>
      <xdr:colOff>0</xdr:colOff>
      <xdr:row>486</xdr:row>
      <xdr:rowOff>0</xdr:rowOff>
    </xdr:to>
    <xdr:sp>
      <xdr:nvSpPr>
        <xdr:cNvPr id="9" name="Line 3"/>
        <xdr:cNvSpPr>
          <a:spLocks/>
        </xdr:cNvSpPr>
      </xdr:nvSpPr>
      <xdr:spPr>
        <a:xfrm>
          <a:off x="0" y="104975025"/>
          <a:ext cx="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391</xdr:row>
      <xdr:rowOff>0</xdr:rowOff>
    </xdr:from>
    <xdr:to>
      <xdr:col>0</xdr:col>
      <xdr:colOff>28575</xdr:colOff>
      <xdr:row>403</xdr:row>
      <xdr:rowOff>19050</xdr:rowOff>
    </xdr:to>
    <xdr:sp>
      <xdr:nvSpPr>
        <xdr:cNvPr id="10" name="Text Box 35"/>
        <xdr:cNvSpPr txBox="1">
          <a:spLocks noChangeArrowheads="1"/>
        </xdr:cNvSpPr>
      </xdr:nvSpPr>
      <xdr:spPr>
        <a:xfrm>
          <a:off x="0" y="86296500"/>
          <a:ext cx="28575" cy="2847975"/>
        </a:xfrm>
        <a:prstGeom prst="rect">
          <a:avLst/>
        </a:prstGeom>
        <a:noFill/>
        <a:ln w="9525" cmpd="sng">
          <a:noFill/>
        </a:ln>
      </xdr:spPr>
      <xdr:txBody>
        <a:bodyPr vertOverflow="clip" wrap="square" vert="vert"/>
        <a:p>
          <a:pPr algn="l">
            <a:defRPr/>
          </a:pPr>
          <a:r>
            <a:rPr lang="en-US" cap="none" sz="1200" b="1" i="0" u="none" baseline="0">
              <a:solidFill>
                <a:srgbClr val="000000"/>
              </a:solidFill>
              <a:latin typeface="Arial (W1)"/>
              <a:ea typeface="Arial (W1)"/>
              <a:cs typeface="Arial (W1)"/>
            </a:rPr>
            <a:t>Southwest Florida Water Management District         Page 28</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99"/>
  <sheetViews>
    <sheetView tabSelected="1" view="pageBreakPreview" zoomScale="75" zoomScaleSheetLayoutView="75" workbookViewId="0" topLeftCell="A1">
      <pane xSplit="1" topLeftCell="B1" activePane="topRight" state="frozen"/>
      <selection pane="topLeft" activeCell="A247" sqref="A247"/>
      <selection pane="topRight" activeCell="A507" sqref="A507"/>
    </sheetView>
  </sheetViews>
  <sheetFormatPr defaultColWidth="9.140625" defaultRowHeight="12.75"/>
  <cols>
    <col min="1" max="1" width="42.140625" style="2" customWidth="1"/>
    <col min="2" max="2" width="12.28125" style="2" customWidth="1"/>
    <col min="3" max="3" width="18.7109375" style="2" customWidth="1"/>
    <col min="4" max="4" width="12.28125" style="2" customWidth="1"/>
    <col min="5" max="5" width="10.57421875" style="2" customWidth="1"/>
    <col min="6" max="6" width="12.140625" style="2" customWidth="1"/>
    <col min="7" max="7" width="20.00390625" style="2" customWidth="1"/>
    <col min="8" max="8" width="20.00390625" style="2" hidden="1" customWidth="1"/>
    <col min="9" max="9" width="10.7109375" style="2" hidden="1" customWidth="1"/>
    <col min="10" max="10" width="13.28125" style="2" customWidth="1"/>
    <col min="11" max="11" width="13.421875" style="2" customWidth="1"/>
    <col min="12" max="12" width="19.00390625" style="2" customWidth="1"/>
    <col min="13" max="13" width="13.28125" style="2" customWidth="1"/>
    <col min="14" max="15" width="13.140625" style="2" customWidth="1"/>
    <col min="16" max="16" width="14.421875" style="2" customWidth="1"/>
    <col min="17" max="17" width="13.57421875" style="2" customWidth="1"/>
    <col min="18" max="18" width="17.421875" style="2" customWidth="1"/>
    <col min="19" max="19" width="14.28125" style="2" customWidth="1"/>
    <col min="20" max="20" width="14.421875" style="2" customWidth="1"/>
    <col min="21" max="21" width="9.57421875" style="2" customWidth="1"/>
    <col min="22" max="22" width="20.140625" style="2" customWidth="1"/>
    <col min="23" max="23" width="20.00390625" style="2" customWidth="1"/>
    <col min="24" max="25" width="20.00390625" style="2" hidden="1" customWidth="1"/>
    <col min="26" max="26" width="15.28125" style="2" customWidth="1"/>
    <col min="27" max="27" width="17.28125" style="2" customWidth="1"/>
    <col min="28" max="28" width="14.57421875" style="2" customWidth="1"/>
    <col min="29" max="29" width="22.57421875" style="2" customWidth="1"/>
    <col min="30" max="30" width="23.7109375" style="2" customWidth="1"/>
    <col min="31" max="31" width="25.7109375" style="2" customWidth="1"/>
    <col min="32" max="32" width="18.57421875" style="2" customWidth="1"/>
    <col min="33" max="16384" width="9.140625" style="2" customWidth="1"/>
  </cols>
  <sheetData>
    <row r="1" spans="1:5" ht="18">
      <c r="A1" s="63" t="s">
        <v>420</v>
      </c>
      <c r="B1" s="63"/>
      <c r="E1" s="124" t="s">
        <v>413</v>
      </c>
    </row>
    <row r="2" spans="1:32" ht="27.75" customHeight="1">
      <c r="A2" s="210" t="s">
        <v>414</v>
      </c>
      <c r="B2" s="64"/>
      <c r="C2" s="10"/>
      <c r="D2" s="198" t="s">
        <v>285</v>
      </c>
      <c r="E2" s="198"/>
      <c r="F2" s="199" t="s">
        <v>286</v>
      </c>
      <c r="G2" s="199"/>
      <c r="H2" s="113" t="s">
        <v>131</v>
      </c>
      <c r="I2" s="109">
        <v>2010</v>
      </c>
      <c r="J2" s="208" t="s">
        <v>287</v>
      </c>
      <c r="K2" s="208"/>
      <c r="L2" s="209" t="s">
        <v>288</v>
      </c>
      <c r="M2" s="209"/>
      <c r="N2" s="10">
        <v>2010</v>
      </c>
      <c r="O2" s="68" t="s">
        <v>289</v>
      </c>
      <c r="P2" s="199" t="s">
        <v>290</v>
      </c>
      <c r="Q2" s="199"/>
      <c r="R2" s="199" t="s">
        <v>291</v>
      </c>
      <c r="S2" s="199"/>
      <c r="T2" s="198" t="s">
        <v>292</v>
      </c>
      <c r="U2" s="198"/>
      <c r="V2" s="199" t="s">
        <v>293</v>
      </c>
      <c r="W2" s="199"/>
      <c r="X2" s="114" t="s">
        <v>298</v>
      </c>
      <c r="Y2" s="114" t="s">
        <v>299</v>
      </c>
      <c r="Z2" s="200" t="s">
        <v>294</v>
      </c>
      <c r="AA2" s="40">
        <v>2020</v>
      </c>
      <c r="AB2" s="207" t="s">
        <v>295</v>
      </c>
      <c r="AC2" s="208"/>
      <c r="AD2" s="61" t="s">
        <v>296</v>
      </c>
      <c r="AE2" s="57" t="s">
        <v>296</v>
      </c>
      <c r="AF2" s="10"/>
    </row>
    <row r="3" spans="1:32" ht="12.75">
      <c r="A3" s="210"/>
      <c r="B3" s="66" t="s">
        <v>153</v>
      </c>
      <c r="C3" s="10" t="s">
        <v>0</v>
      </c>
      <c r="D3" s="198"/>
      <c r="E3" s="198"/>
      <c r="F3" s="199"/>
      <c r="G3" s="199"/>
      <c r="H3" s="113"/>
      <c r="I3" s="109" t="s">
        <v>131</v>
      </c>
      <c r="J3" s="208"/>
      <c r="K3" s="208"/>
      <c r="L3" s="209"/>
      <c r="M3" s="209"/>
      <c r="N3" s="10" t="s">
        <v>2</v>
      </c>
      <c r="O3" s="68" t="s">
        <v>161</v>
      </c>
      <c r="P3" s="199"/>
      <c r="Q3" s="199"/>
      <c r="R3" s="199"/>
      <c r="S3" s="199"/>
      <c r="T3" s="198"/>
      <c r="U3" s="198"/>
      <c r="V3" s="199"/>
      <c r="W3" s="199"/>
      <c r="X3" s="114" t="s">
        <v>131</v>
      </c>
      <c r="Y3" s="114"/>
      <c r="Z3" s="201"/>
      <c r="AA3" s="41" t="s">
        <v>145</v>
      </c>
      <c r="AB3" s="207"/>
      <c r="AC3" s="208"/>
      <c r="AD3" s="61" t="s">
        <v>145</v>
      </c>
      <c r="AE3" s="57" t="s">
        <v>297</v>
      </c>
      <c r="AF3" s="10" t="s">
        <v>3</v>
      </c>
    </row>
    <row r="4" spans="1:32" ht="14.25">
      <c r="A4" s="210"/>
      <c r="B4" s="66" t="s">
        <v>151</v>
      </c>
      <c r="C4" s="10" t="s">
        <v>1</v>
      </c>
      <c r="D4" s="198"/>
      <c r="E4" s="198"/>
      <c r="F4" s="199"/>
      <c r="G4" s="199"/>
      <c r="H4" s="113"/>
      <c r="I4" s="109"/>
      <c r="J4" s="208"/>
      <c r="K4" s="208"/>
      <c r="L4" s="209"/>
      <c r="M4" s="209"/>
      <c r="N4" s="10" t="s">
        <v>97</v>
      </c>
      <c r="O4" s="68" t="s">
        <v>270</v>
      </c>
      <c r="P4" s="199"/>
      <c r="Q4" s="199"/>
      <c r="R4" s="199"/>
      <c r="S4" s="199"/>
      <c r="T4" s="198"/>
      <c r="U4" s="198"/>
      <c r="V4" s="199"/>
      <c r="W4" s="199"/>
      <c r="X4" s="109"/>
      <c r="Y4" s="109"/>
      <c r="Z4" s="202"/>
      <c r="AA4" s="39" t="s">
        <v>143</v>
      </c>
      <c r="AB4" s="208"/>
      <c r="AC4" s="208"/>
      <c r="AD4" s="61"/>
      <c r="AE4" s="57"/>
      <c r="AF4" s="125"/>
    </row>
    <row r="5" spans="1:32" ht="46.5">
      <c r="A5" s="78" t="s">
        <v>195</v>
      </c>
      <c r="B5" s="10" t="s">
        <v>154</v>
      </c>
      <c r="C5" s="10" t="s">
        <v>302</v>
      </c>
      <c r="D5" s="10" t="s">
        <v>5</v>
      </c>
      <c r="E5" s="11" t="s">
        <v>7</v>
      </c>
      <c r="F5" s="10" t="s">
        <v>95</v>
      </c>
      <c r="G5" s="10" t="s">
        <v>96</v>
      </c>
      <c r="H5" s="113" t="s">
        <v>7</v>
      </c>
      <c r="I5" s="109"/>
      <c r="J5" s="10" t="s">
        <v>5</v>
      </c>
      <c r="K5" s="12" t="s">
        <v>277</v>
      </c>
      <c r="L5" s="10" t="s">
        <v>5</v>
      </c>
      <c r="M5" s="42" t="s">
        <v>7</v>
      </c>
      <c r="N5" s="10"/>
      <c r="O5" s="68"/>
      <c r="P5" s="10" t="s">
        <v>5</v>
      </c>
      <c r="Q5" s="10" t="s">
        <v>7</v>
      </c>
      <c r="R5" s="10" t="s">
        <v>272</v>
      </c>
      <c r="S5" s="10" t="s">
        <v>273</v>
      </c>
      <c r="T5" s="10" t="s">
        <v>5</v>
      </c>
      <c r="U5" s="11" t="s">
        <v>7</v>
      </c>
      <c r="V5" s="10" t="s">
        <v>95</v>
      </c>
      <c r="W5" s="10" t="s">
        <v>96</v>
      </c>
      <c r="X5" s="109"/>
      <c r="Y5" s="109"/>
      <c r="Z5" s="10"/>
      <c r="AA5" s="10"/>
      <c r="AB5" s="10" t="s">
        <v>5</v>
      </c>
      <c r="AC5" s="12" t="s">
        <v>334</v>
      </c>
      <c r="AD5" s="61" t="s">
        <v>335</v>
      </c>
      <c r="AE5" s="57" t="s">
        <v>336</v>
      </c>
      <c r="AF5" s="125"/>
    </row>
    <row r="6" spans="1:32" ht="12.75">
      <c r="A6" s="10"/>
      <c r="B6" s="10"/>
      <c r="C6" s="125"/>
      <c r="D6" s="10" t="s">
        <v>6</v>
      </c>
      <c r="E6" s="11" t="s">
        <v>6</v>
      </c>
      <c r="F6" s="10"/>
      <c r="G6" s="10"/>
      <c r="H6" s="113" t="s">
        <v>6</v>
      </c>
      <c r="I6" s="109" t="s">
        <v>300</v>
      </c>
      <c r="J6" s="10" t="s">
        <v>6</v>
      </c>
      <c r="K6" s="12" t="s">
        <v>6</v>
      </c>
      <c r="L6" s="10" t="s">
        <v>6</v>
      </c>
      <c r="M6" s="42" t="s">
        <v>6</v>
      </c>
      <c r="N6" s="125"/>
      <c r="O6" s="126"/>
      <c r="P6" s="10" t="s">
        <v>6</v>
      </c>
      <c r="Q6" s="10" t="s">
        <v>6</v>
      </c>
      <c r="R6" s="10" t="s">
        <v>6</v>
      </c>
      <c r="S6" s="10" t="s">
        <v>6</v>
      </c>
      <c r="T6" s="10" t="s">
        <v>6</v>
      </c>
      <c r="U6" s="11" t="s">
        <v>6</v>
      </c>
      <c r="V6" s="10"/>
      <c r="W6" s="10"/>
      <c r="X6" s="109" t="s">
        <v>6</v>
      </c>
      <c r="Y6" s="109" t="s">
        <v>300</v>
      </c>
      <c r="Z6" s="10" t="s">
        <v>6</v>
      </c>
      <c r="AA6" s="10" t="s">
        <v>6</v>
      </c>
      <c r="AB6" s="10" t="s">
        <v>6</v>
      </c>
      <c r="AC6" s="12" t="s">
        <v>6</v>
      </c>
      <c r="AD6" s="61" t="s">
        <v>6</v>
      </c>
      <c r="AE6" s="57" t="s">
        <v>6</v>
      </c>
      <c r="AF6" s="125"/>
    </row>
    <row r="7" spans="1:32" ht="12.75">
      <c r="A7" s="10" t="s">
        <v>4</v>
      </c>
      <c r="B7" s="10"/>
      <c r="C7" s="125"/>
      <c r="D7" s="125"/>
      <c r="E7" s="127"/>
      <c r="F7" s="125"/>
      <c r="G7" s="125"/>
      <c r="H7" s="125"/>
      <c r="I7" s="125"/>
      <c r="J7" s="125"/>
      <c r="K7" s="128"/>
      <c r="L7" s="125"/>
      <c r="M7" s="129"/>
      <c r="N7" s="125"/>
      <c r="O7" s="126"/>
      <c r="P7" s="125"/>
      <c r="Q7" s="125"/>
      <c r="R7" s="125"/>
      <c r="S7" s="125"/>
      <c r="T7" s="125"/>
      <c r="U7" s="13"/>
      <c r="V7" s="44"/>
      <c r="W7" s="44"/>
      <c r="X7" s="44"/>
      <c r="Y7" s="44"/>
      <c r="Z7" s="125"/>
      <c r="AA7" s="125"/>
      <c r="AB7" s="125"/>
      <c r="AC7" s="128"/>
      <c r="AD7" s="121"/>
      <c r="AE7" s="130"/>
      <c r="AF7" s="125"/>
    </row>
    <row r="8" spans="1:32" ht="15">
      <c r="A8" s="54" t="s">
        <v>158</v>
      </c>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row>
    <row r="9" spans="1:32" ht="12.75">
      <c r="A9" s="16" t="s">
        <v>160</v>
      </c>
      <c r="B9" s="16" t="s">
        <v>159</v>
      </c>
      <c r="C9" s="17"/>
      <c r="D9" s="18">
        <v>0.45</v>
      </c>
      <c r="E9" s="46">
        <v>0.16</v>
      </c>
      <c r="F9" s="17" t="s">
        <v>169</v>
      </c>
      <c r="G9" s="17" t="s">
        <v>129</v>
      </c>
      <c r="H9" s="18">
        <v>0</v>
      </c>
      <c r="I9" s="17"/>
      <c r="J9" s="18">
        <v>0</v>
      </c>
      <c r="K9" s="37">
        <v>0</v>
      </c>
      <c r="L9" s="18">
        <f>SUM(D9)</f>
        <v>0.45</v>
      </c>
      <c r="M9" s="47">
        <f>SUM(E9-K9)</f>
        <v>0.16</v>
      </c>
      <c r="N9" s="17"/>
      <c r="O9" s="131">
        <v>417</v>
      </c>
      <c r="P9" s="18">
        <f>SUM(O9*84)*(1.25)/1000000</f>
        <v>0.043785</v>
      </c>
      <c r="Q9" s="18">
        <f>SUM(O9*84)/1000000</f>
        <v>0.035028</v>
      </c>
      <c r="R9" s="18">
        <f>SUM(E9*0.06)</f>
        <v>0.0096</v>
      </c>
      <c r="S9" s="17"/>
      <c r="T9" s="18">
        <f>SUM(D9+P9)-(R9+S9)</f>
        <v>0.48418500000000003</v>
      </c>
      <c r="U9" s="46">
        <f>SUM(E9+Q9)-(R9+S9)</f>
        <v>0.185428</v>
      </c>
      <c r="V9" s="50" t="s">
        <v>128</v>
      </c>
      <c r="W9" s="50" t="s">
        <v>144</v>
      </c>
      <c r="X9" s="50">
        <v>0</v>
      </c>
      <c r="Y9" s="50"/>
      <c r="Z9" s="18"/>
      <c r="AA9" s="18">
        <f>K9+Z9</f>
        <v>0</v>
      </c>
      <c r="AB9" s="18">
        <f>SUM(U9)</f>
        <v>0.185428</v>
      </c>
      <c r="AC9" s="37">
        <f>SUM(U9*0.7)</f>
        <v>0.1297996</v>
      </c>
      <c r="AD9" s="62">
        <f>SUM(AC9-K9)</f>
        <v>0.1297996</v>
      </c>
      <c r="AE9" s="58">
        <f>SUM(AD9*0.7)</f>
        <v>0.09085971999999999</v>
      </c>
      <c r="AF9" s="17" t="s">
        <v>105</v>
      </c>
    </row>
    <row r="10" spans="1:32" ht="15">
      <c r="A10" s="14" t="s">
        <v>163</v>
      </c>
      <c r="B10" s="14"/>
      <c r="C10" s="15"/>
      <c r="D10" s="51"/>
      <c r="E10" s="51"/>
      <c r="F10" s="15"/>
      <c r="G10" s="15"/>
      <c r="H10" s="51"/>
      <c r="I10" s="15"/>
      <c r="J10" s="51"/>
      <c r="K10" s="51"/>
      <c r="L10" s="51"/>
      <c r="M10" s="52"/>
      <c r="N10" s="15"/>
      <c r="O10" s="67"/>
      <c r="P10" s="15"/>
      <c r="Q10" s="15"/>
      <c r="R10" s="15"/>
      <c r="S10" s="15"/>
      <c r="T10" s="15"/>
      <c r="U10" s="52"/>
      <c r="V10" s="53"/>
      <c r="W10" s="53"/>
      <c r="X10" s="53"/>
      <c r="Y10" s="53"/>
      <c r="Z10" s="15"/>
      <c r="AA10" s="52">
        <f>K10+Z10</f>
        <v>0</v>
      </c>
      <c r="AB10" s="15"/>
      <c r="AC10" s="15"/>
      <c r="AD10" s="15"/>
      <c r="AE10" s="15"/>
      <c r="AF10" s="15"/>
    </row>
    <row r="11" spans="1:32" ht="15">
      <c r="A11" s="16" t="s">
        <v>13</v>
      </c>
      <c r="B11" s="16"/>
      <c r="C11" s="17">
        <v>0</v>
      </c>
      <c r="D11" s="18">
        <v>0</v>
      </c>
      <c r="E11" s="46">
        <v>0</v>
      </c>
      <c r="F11" s="17"/>
      <c r="G11" s="17"/>
      <c r="H11" s="18">
        <v>0</v>
      </c>
      <c r="I11" s="17"/>
      <c r="J11" s="18">
        <v>0</v>
      </c>
      <c r="K11" s="37">
        <v>0</v>
      </c>
      <c r="L11" s="18">
        <v>0</v>
      </c>
      <c r="M11" s="47">
        <f>SUM(E11-K11)</f>
        <v>0</v>
      </c>
      <c r="N11" s="17"/>
      <c r="O11" s="131">
        <v>0</v>
      </c>
      <c r="P11" s="18">
        <v>0</v>
      </c>
      <c r="Q11" s="18">
        <v>0</v>
      </c>
      <c r="R11" s="18">
        <v>0</v>
      </c>
      <c r="S11" s="18">
        <v>0</v>
      </c>
      <c r="T11" s="18">
        <v>0</v>
      </c>
      <c r="U11" s="46">
        <v>0</v>
      </c>
      <c r="V11" s="43"/>
      <c r="W11" s="43"/>
      <c r="X11" s="18">
        <v>0</v>
      </c>
      <c r="Y11" s="43"/>
      <c r="Z11" s="18">
        <f>SUM(Z13)</f>
        <v>0</v>
      </c>
      <c r="AA11" s="18">
        <f>K11+Z11</f>
        <v>0</v>
      </c>
      <c r="AB11" s="88">
        <v>0</v>
      </c>
      <c r="AC11" s="37">
        <v>0</v>
      </c>
      <c r="AD11" s="62">
        <v>0</v>
      </c>
      <c r="AE11" s="58">
        <v>0</v>
      </c>
      <c r="AF11" s="20"/>
    </row>
    <row r="12" spans="1:32" ht="15.75" thickBot="1">
      <c r="A12" s="22" t="s">
        <v>14</v>
      </c>
      <c r="B12" s="22"/>
      <c r="C12" s="23">
        <v>1</v>
      </c>
      <c r="D12" s="24">
        <v>0.45</v>
      </c>
      <c r="E12" s="132">
        <v>0.16</v>
      </c>
      <c r="F12" s="23"/>
      <c r="G12" s="23"/>
      <c r="H12" s="24">
        <v>0</v>
      </c>
      <c r="I12" s="23"/>
      <c r="J12" s="24">
        <v>0</v>
      </c>
      <c r="K12" s="133">
        <v>0</v>
      </c>
      <c r="L12" s="24">
        <v>0.45</v>
      </c>
      <c r="M12" s="47">
        <f>SUM(E12-K12)</f>
        <v>0.16</v>
      </c>
      <c r="N12" s="23"/>
      <c r="O12" s="69">
        <f aca="true" t="shared" si="0" ref="O12:U12">SUM(O9)</f>
        <v>417</v>
      </c>
      <c r="P12" s="24">
        <f t="shared" si="0"/>
        <v>0.043785</v>
      </c>
      <c r="Q12" s="24">
        <f t="shared" si="0"/>
        <v>0.035028</v>
      </c>
      <c r="R12" s="24">
        <f t="shared" si="0"/>
        <v>0.0096</v>
      </c>
      <c r="S12" s="24">
        <f t="shared" si="0"/>
        <v>0</v>
      </c>
      <c r="T12" s="24">
        <f t="shared" si="0"/>
        <v>0.48418500000000003</v>
      </c>
      <c r="U12" s="132">
        <f t="shared" si="0"/>
        <v>0.185428</v>
      </c>
      <c r="V12" s="45"/>
      <c r="W12" s="45"/>
      <c r="X12" s="24">
        <f>SUM(X9)</f>
        <v>0</v>
      </c>
      <c r="Y12" s="45"/>
      <c r="Z12" s="24">
        <f aca="true" t="shared" si="1" ref="Z12:AE12">SUM(Z9)</f>
        <v>0</v>
      </c>
      <c r="AA12" s="24">
        <f t="shared" si="1"/>
        <v>0</v>
      </c>
      <c r="AB12" s="24">
        <f t="shared" si="1"/>
        <v>0.185428</v>
      </c>
      <c r="AC12" s="133">
        <f t="shared" si="1"/>
        <v>0.1297996</v>
      </c>
      <c r="AD12" s="117">
        <f t="shared" si="1"/>
        <v>0.1297996</v>
      </c>
      <c r="AE12" s="59">
        <f t="shared" si="1"/>
        <v>0.09085971999999999</v>
      </c>
      <c r="AF12" s="25"/>
    </row>
    <row r="13" spans="1:32" ht="13.5" thickBot="1">
      <c r="A13" s="26" t="s">
        <v>15</v>
      </c>
      <c r="B13" s="65"/>
      <c r="C13" s="27">
        <f>SUM(C11,C12)</f>
        <v>1</v>
      </c>
      <c r="D13" s="33">
        <f>SUM(D11:D12)</f>
        <v>0.45</v>
      </c>
      <c r="E13" s="134">
        <f>SUM(E11:E12)</f>
        <v>0.16</v>
      </c>
      <c r="F13" s="27"/>
      <c r="G13" s="27"/>
      <c r="H13" s="33">
        <f>SUM(H9:H9)</f>
        <v>0</v>
      </c>
      <c r="I13" s="135">
        <f>(H13/E13)</f>
        <v>0</v>
      </c>
      <c r="J13" s="33">
        <f>SUM(J9:J9)</f>
        <v>0</v>
      </c>
      <c r="K13" s="136">
        <f>SUM(K9:K9)</f>
        <v>0</v>
      </c>
      <c r="L13" s="33">
        <f>SUM(L9:L9)</f>
        <v>0.45</v>
      </c>
      <c r="M13" s="137">
        <f>SUM(M9:M9)</f>
        <v>0.16</v>
      </c>
      <c r="N13" s="27"/>
      <c r="O13" s="138">
        <f aca="true" t="shared" si="2" ref="O13:U13">SUM(O11:O12)</f>
        <v>417</v>
      </c>
      <c r="P13" s="33">
        <f t="shared" si="2"/>
        <v>0.043785</v>
      </c>
      <c r="Q13" s="33">
        <f t="shared" si="2"/>
        <v>0.035028</v>
      </c>
      <c r="R13" s="33">
        <f t="shared" si="2"/>
        <v>0.0096</v>
      </c>
      <c r="S13" s="33">
        <f t="shared" si="2"/>
        <v>0</v>
      </c>
      <c r="T13" s="33">
        <f t="shared" si="2"/>
        <v>0.48418500000000003</v>
      </c>
      <c r="U13" s="134">
        <f t="shared" si="2"/>
        <v>0.185428</v>
      </c>
      <c r="V13" s="33"/>
      <c r="W13" s="33"/>
      <c r="X13" s="33">
        <f>SUM(X11:X12)</f>
        <v>0</v>
      </c>
      <c r="Y13" s="135">
        <v>0</v>
      </c>
      <c r="Z13" s="33">
        <f aca="true" t="shared" si="3" ref="Z13:AE13">SUM(Z9:Z9)</f>
        <v>0</v>
      </c>
      <c r="AA13" s="33">
        <f t="shared" si="3"/>
        <v>0</v>
      </c>
      <c r="AB13" s="33">
        <f t="shared" si="3"/>
        <v>0.185428</v>
      </c>
      <c r="AC13" s="136">
        <f t="shared" si="3"/>
        <v>0.1297996</v>
      </c>
      <c r="AD13" s="118">
        <f t="shared" si="3"/>
        <v>0.1297996</v>
      </c>
      <c r="AE13" s="60">
        <f t="shared" si="3"/>
        <v>0.09085971999999999</v>
      </c>
      <c r="AF13" s="34"/>
    </row>
    <row r="14" spans="1:32" ht="14.25">
      <c r="A14" s="77" t="s">
        <v>182</v>
      </c>
      <c r="B14" s="77"/>
      <c r="C14" s="76"/>
      <c r="D14" s="75"/>
      <c r="E14" s="75"/>
      <c r="F14" s="76"/>
      <c r="G14" s="76"/>
      <c r="H14" s="76"/>
      <c r="I14" s="76"/>
      <c r="J14" s="75"/>
      <c r="K14" s="76"/>
      <c r="L14" s="75"/>
      <c r="M14" s="76"/>
      <c r="N14" s="76"/>
      <c r="O14" s="73">
        <v>8111</v>
      </c>
      <c r="P14" s="75"/>
      <c r="Q14" s="75"/>
      <c r="R14" s="75"/>
      <c r="S14" s="75"/>
      <c r="T14" s="75"/>
      <c r="U14" s="75"/>
      <c r="V14" s="75"/>
      <c r="W14" s="75"/>
      <c r="X14" s="75"/>
      <c r="Y14" s="75"/>
      <c r="Z14" s="75"/>
      <c r="AA14" s="75"/>
      <c r="AB14" s="75"/>
      <c r="AC14" s="75"/>
      <c r="AD14" s="75"/>
      <c r="AE14" s="75"/>
      <c r="AF14" s="5" t="s">
        <v>265</v>
      </c>
    </row>
    <row r="15" spans="1:32" ht="12.75">
      <c r="A15" s="77" t="s">
        <v>173</v>
      </c>
      <c r="B15" s="77"/>
      <c r="C15" s="76"/>
      <c r="D15" s="75"/>
      <c r="E15" s="75"/>
      <c r="F15" s="76"/>
      <c r="G15" s="76"/>
      <c r="H15" s="76"/>
      <c r="I15" s="76"/>
      <c r="J15" s="75"/>
      <c r="K15" s="76"/>
      <c r="L15" s="75"/>
      <c r="M15" s="76"/>
      <c r="N15" s="76"/>
      <c r="O15" s="74">
        <f>SUM(O13/O14)</f>
        <v>0.05141166317346813</v>
      </c>
      <c r="P15" s="75"/>
      <c r="Q15" s="75"/>
      <c r="R15" s="75"/>
      <c r="S15" s="75"/>
      <c r="T15" s="75"/>
      <c r="U15" s="75"/>
      <c r="V15" s="75"/>
      <c r="W15" s="75"/>
      <c r="X15" s="75"/>
      <c r="Y15" s="75"/>
      <c r="Z15" s="75"/>
      <c r="AA15" s="75"/>
      <c r="AB15" s="75"/>
      <c r="AC15" s="75"/>
      <c r="AD15" s="75"/>
      <c r="AE15" s="75"/>
      <c r="AF15" s="5"/>
    </row>
    <row r="16" spans="2:29" ht="12.75">
      <c r="B16" s="139"/>
      <c r="C16" s="139"/>
      <c r="D16" s="139"/>
      <c r="E16" s="139"/>
      <c r="F16" s="139"/>
      <c r="G16" s="139"/>
      <c r="H16" s="139"/>
      <c r="I16" s="139"/>
      <c r="J16" s="139"/>
      <c r="K16" s="139"/>
      <c r="L16" s="139"/>
      <c r="M16" s="139"/>
      <c r="N16" s="139"/>
      <c r="P16" s="139"/>
      <c r="Q16" s="139"/>
      <c r="R16" s="139"/>
      <c r="S16" s="139"/>
      <c r="T16" s="139"/>
      <c r="U16" s="139"/>
      <c r="V16" s="139"/>
      <c r="W16" s="139"/>
      <c r="X16" s="139"/>
      <c r="Y16" s="139"/>
      <c r="Z16" s="139"/>
      <c r="AA16" s="139"/>
      <c r="AB16" s="139"/>
      <c r="AC16" s="139"/>
    </row>
    <row r="17" spans="1:32" ht="26.25" customHeight="1">
      <c r="A17" s="206"/>
      <c r="B17" s="64"/>
      <c r="C17" s="10"/>
      <c r="D17" s="198" t="s">
        <v>285</v>
      </c>
      <c r="E17" s="198"/>
      <c r="F17" s="199" t="s">
        <v>286</v>
      </c>
      <c r="G17" s="199"/>
      <c r="H17" s="113" t="s">
        <v>131</v>
      </c>
      <c r="I17" s="109">
        <v>2010</v>
      </c>
      <c r="J17" s="208" t="s">
        <v>287</v>
      </c>
      <c r="K17" s="208"/>
      <c r="L17" s="209" t="s">
        <v>288</v>
      </c>
      <c r="M17" s="209"/>
      <c r="N17" s="10">
        <v>2010</v>
      </c>
      <c r="O17" s="68" t="s">
        <v>289</v>
      </c>
      <c r="P17" s="199" t="s">
        <v>290</v>
      </c>
      <c r="Q17" s="199"/>
      <c r="R17" s="199" t="s">
        <v>291</v>
      </c>
      <c r="S17" s="199"/>
      <c r="T17" s="198" t="s">
        <v>292</v>
      </c>
      <c r="U17" s="198"/>
      <c r="V17" s="199" t="s">
        <v>293</v>
      </c>
      <c r="W17" s="199"/>
      <c r="X17" s="114" t="s">
        <v>298</v>
      </c>
      <c r="Y17" s="114" t="s">
        <v>299</v>
      </c>
      <c r="Z17" s="200" t="s">
        <v>294</v>
      </c>
      <c r="AA17" s="40">
        <v>2020</v>
      </c>
      <c r="AB17" s="207" t="s">
        <v>295</v>
      </c>
      <c r="AC17" s="208"/>
      <c r="AD17" s="61" t="s">
        <v>296</v>
      </c>
      <c r="AE17" s="57" t="s">
        <v>296</v>
      </c>
      <c r="AF17" s="10"/>
    </row>
    <row r="18" spans="1:32" ht="12.75">
      <c r="A18" s="206"/>
      <c r="B18" s="66" t="s">
        <v>153</v>
      </c>
      <c r="C18" s="10" t="s">
        <v>0</v>
      </c>
      <c r="D18" s="198"/>
      <c r="E18" s="198"/>
      <c r="F18" s="199"/>
      <c r="G18" s="199"/>
      <c r="H18" s="113"/>
      <c r="I18" s="109" t="s">
        <v>131</v>
      </c>
      <c r="J18" s="208"/>
      <c r="K18" s="208"/>
      <c r="L18" s="209"/>
      <c r="M18" s="209"/>
      <c r="N18" s="10" t="s">
        <v>2</v>
      </c>
      <c r="O18" s="68" t="s">
        <v>161</v>
      </c>
      <c r="P18" s="199"/>
      <c r="Q18" s="199"/>
      <c r="R18" s="199"/>
      <c r="S18" s="199"/>
      <c r="T18" s="198"/>
      <c r="U18" s="198"/>
      <c r="V18" s="199"/>
      <c r="W18" s="199"/>
      <c r="X18" s="114" t="s">
        <v>131</v>
      </c>
      <c r="Y18" s="114"/>
      <c r="Z18" s="201"/>
      <c r="AA18" s="41" t="s">
        <v>145</v>
      </c>
      <c r="AB18" s="207"/>
      <c r="AC18" s="208"/>
      <c r="AD18" s="61" t="s">
        <v>145</v>
      </c>
      <c r="AE18" s="57" t="s">
        <v>297</v>
      </c>
      <c r="AF18" s="10" t="s">
        <v>3</v>
      </c>
    </row>
    <row r="19" spans="1:32" ht="14.25">
      <c r="A19" s="206"/>
      <c r="B19" s="66" t="s">
        <v>151</v>
      </c>
      <c r="C19" s="10" t="s">
        <v>1</v>
      </c>
      <c r="D19" s="198"/>
      <c r="E19" s="198"/>
      <c r="F19" s="199"/>
      <c r="G19" s="199"/>
      <c r="H19" s="113"/>
      <c r="I19" s="109"/>
      <c r="J19" s="208"/>
      <c r="K19" s="208"/>
      <c r="L19" s="209"/>
      <c r="M19" s="209"/>
      <c r="N19" s="10" t="s">
        <v>97</v>
      </c>
      <c r="O19" s="68" t="s">
        <v>270</v>
      </c>
      <c r="P19" s="199"/>
      <c r="Q19" s="199"/>
      <c r="R19" s="199"/>
      <c r="S19" s="199"/>
      <c r="T19" s="198"/>
      <c r="U19" s="198"/>
      <c r="V19" s="199"/>
      <c r="W19" s="199"/>
      <c r="X19" s="109"/>
      <c r="Y19" s="109"/>
      <c r="Z19" s="202"/>
      <c r="AA19" s="39" t="s">
        <v>143</v>
      </c>
      <c r="AB19" s="208"/>
      <c r="AC19" s="208"/>
      <c r="AD19" s="61"/>
      <c r="AE19" s="57"/>
      <c r="AF19" s="125"/>
    </row>
    <row r="20" spans="1:32" ht="46.5">
      <c r="A20" s="78" t="s">
        <v>196</v>
      </c>
      <c r="B20" s="10" t="s">
        <v>154</v>
      </c>
      <c r="C20" s="10" t="s">
        <v>302</v>
      </c>
      <c r="D20" s="10" t="s">
        <v>5</v>
      </c>
      <c r="E20" s="11" t="s">
        <v>7</v>
      </c>
      <c r="F20" s="10" t="s">
        <v>95</v>
      </c>
      <c r="G20" s="10" t="s">
        <v>96</v>
      </c>
      <c r="H20" s="113" t="s">
        <v>7</v>
      </c>
      <c r="I20" s="109"/>
      <c r="J20" s="10" t="s">
        <v>5</v>
      </c>
      <c r="K20" s="12" t="s">
        <v>277</v>
      </c>
      <c r="L20" s="10" t="s">
        <v>5</v>
      </c>
      <c r="M20" s="42" t="s">
        <v>7</v>
      </c>
      <c r="N20" s="10"/>
      <c r="O20" s="68"/>
      <c r="P20" s="10" t="s">
        <v>5</v>
      </c>
      <c r="Q20" s="10" t="s">
        <v>7</v>
      </c>
      <c r="R20" s="10" t="s">
        <v>272</v>
      </c>
      <c r="S20" s="10" t="s">
        <v>273</v>
      </c>
      <c r="T20" s="10" t="s">
        <v>5</v>
      </c>
      <c r="U20" s="11" t="s">
        <v>7</v>
      </c>
      <c r="V20" s="10" t="s">
        <v>95</v>
      </c>
      <c r="W20" s="10" t="s">
        <v>96</v>
      </c>
      <c r="X20" s="109"/>
      <c r="Y20" s="109"/>
      <c r="Z20" s="10"/>
      <c r="AA20" s="10"/>
      <c r="AB20" s="10" t="s">
        <v>5</v>
      </c>
      <c r="AC20" s="12" t="s">
        <v>334</v>
      </c>
      <c r="AD20" s="61" t="s">
        <v>335</v>
      </c>
      <c r="AE20" s="57" t="s">
        <v>336</v>
      </c>
      <c r="AF20" s="125"/>
    </row>
    <row r="21" spans="1:32" ht="12.75">
      <c r="A21" s="10"/>
      <c r="B21" s="10"/>
      <c r="C21" s="125"/>
      <c r="D21" s="10" t="s">
        <v>6</v>
      </c>
      <c r="E21" s="11" t="s">
        <v>6</v>
      </c>
      <c r="F21" s="10"/>
      <c r="G21" s="10"/>
      <c r="H21" s="113" t="s">
        <v>6</v>
      </c>
      <c r="I21" s="109" t="s">
        <v>300</v>
      </c>
      <c r="J21" s="10" t="s">
        <v>6</v>
      </c>
      <c r="K21" s="12" t="s">
        <v>6</v>
      </c>
      <c r="L21" s="10" t="s">
        <v>6</v>
      </c>
      <c r="M21" s="42" t="s">
        <v>6</v>
      </c>
      <c r="N21" s="125"/>
      <c r="O21" s="126"/>
      <c r="P21" s="10" t="s">
        <v>6</v>
      </c>
      <c r="Q21" s="10" t="s">
        <v>6</v>
      </c>
      <c r="R21" s="10" t="s">
        <v>6</v>
      </c>
      <c r="S21" s="10" t="s">
        <v>6</v>
      </c>
      <c r="T21" s="10" t="s">
        <v>6</v>
      </c>
      <c r="U21" s="11" t="s">
        <v>6</v>
      </c>
      <c r="V21" s="10"/>
      <c r="W21" s="10"/>
      <c r="X21" s="109" t="s">
        <v>6</v>
      </c>
      <c r="Y21" s="109" t="s">
        <v>300</v>
      </c>
      <c r="Z21" s="10" t="s">
        <v>6</v>
      </c>
      <c r="AA21" s="10" t="s">
        <v>6</v>
      </c>
      <c r="AB21" s="10" t="s">
        <v>6</v>
      </c>
      <c r="AC21" s="12" t="s">
        <v>6</v>
      </c>
      <c r="AD21" s="61" t="s">
        <v>6</v>
      </c>
      <c r="AE21" s="57" t="s">
        <v>6</v>
      </c>
      <c r="AF21" s="125"/>
    </row>
    <row r="22" spans="1:32" ht="12.75">
      <c r="A22" s="10" t="s">
        <v>4</v>
      </c>
      <c r="B22" s="10"/>
      <c r="C22" s="125"/>
      <c r="D22" s="125"/>
      <c r="E22" s="127"/>
      <c r="F22" s="125"/>
      <c r="G22" s="125"/>
      <c r="H22" s="125"/>
      <c r="I22" s="125"/>
      <c r="J22" s="125"/>
      <c r="K22" s="128"/>
      <c r="L22" s="125"/>
      <c r="M22" s="129"/>
      <c r="N22" s="125"/>
      <c r="O22" s="126"/>
      <c r="P22" s="125"/>
      <c r="Q22" s="125"/>
      <c r="R22" s="125"/>
      <c r="S22" s="125"/>
      <c r="T22" s="125"/>
      <c r="U22" s="13"/>
      <c r="V22" s="44"/>
      <c r="W22" s="44"/>
      <c r="X22" s="44"/>
      <c r="Y22" s="44"/>
      <c r="Z22" s="125"/>
      <c r="AA22" s="125"/>
      <c r="AB22" s="125"/>
      <c r="AC22" s="128"/>
      <c r="AD22" s="121"/>
      <c r="AE22" s="130"/>
      <c r="AF22" s="125"/>
    </row>
    <row r="23" spans="1:32" ht="15">
      <c r="A23" s="54" t="s">
        <v>164</v>
      </c>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16" t="s">
        <v>247</v>
      </c>
      <c r="B24" s="16" t="s">
        <v>159</v>
      </c>
      <c r="C24" s="17"/>
      <c r="D24" s="18">
        <v>0.58</v>
      </c>
      <c r="E24" s="46">
        <v>0.47</v>
      </c>
      <c r="F24" s="17" t="s">
        <v>169</v>
      </c>
      <c r="G24" s="17" t="s">
        <v>129</v>
      </c>
      <c r="H24" s="18">
        <v>0</v>
      </c>
      <c r="I24" s="17"/>
      <c r="J24" s="18">
        <v>0</v>
      </c>
      <c r="K24" s="37">
        <v>0</v>
      </c>
      <c r="L24" s="18">
        <f>SUM(D24)</f>
        <v>0.58</v>
      </c>
      <c r="M24" s="47">
        <f aca="true" t="shared" si="4" ref="M24:M32">SUM(E24-K24)</f>
        <v>0.47</v>
      </c>
      <c r="N24" s="17"/>
      <c r="O24" s="131">
        <v>655</v>
      </c>
      <c r="P24" s="18">
        <f aca="true" t="shared" si="5" ref="P24:P32">SUM(O24*84)*(1.25)/1000000</f>
        <v>0.068775</v>
      </c>
      <c r="Q24" s="18">
        <f aca="true" t="shared" si="6" ref="Q24:Q32">SUM(O24*84)/1000000</f>
        <v>0.05502</v>
      </c>
      <c r="R24" s="18">
        <f aca="true" t="shared" si="7" ref="R24:R32">SUM(E24*0.06)</f>
        <v>0.028199999999999996</v>
      </c>
      <c r="S24" s="18"/>
      <c r="T24" s="18">
        <f aca="true" t="shared" si="8" ref="T24:T32">SUM(D24+P24)-(R24+S24)</f>
        <v>0.620575</v>
      </c>
      <c r="U24" s="46">
        <f aca="true" t="shared" si="9" ref="U24:U32">SUM(E24+Q24)-(R24+S24)</f>
        <v>0.49681999999999993</v>
      </c>
      <c r="V24" s="50" t="s">
        <v>131</v>
      </c>
      <c r="W24" s="50" t="s">
        <v>144</v>
      </c>
      <c r="X24" s="50">
        <f>SUM(U24)</f>
        <v>0.49681999999999993</v>
      </c>
      <c r="Y24" s="50"/>
      <c r="Z24" s="18"/>
      <c r="AA24" s="18">
        <f aca="true" t="shared" si="10" ref="AA24:AA34">K24+Z24</f>
        <v>0</v>
      </c>
      <c r="AB24" s="18">
        <f aca="true" t="shared" si="11" ref="AB24:AB32">SUM(U24)</f>
        <v>0.49681999999999993</v>
      </c>
      <c r="AC24" s="37">
        <f>SUM(U24*0.7)</f>
        <v>0.3477739999999999</v>
      </c>
      <c r="AD24" s="62">
        <f aca="true" t="shared" si="12" ref="AD24:AD32">SUM(AC24-K24)</f>
        <v>0.3477739999999999</v>
      </c>
      <c r="AE24" s="58">
        <f>SUM(AD24*0.7)</f>
        <v>0.24344179999999993</v>
      </c>
      <c r="AF24" s="17">
        <v>1</v>
      </c>
    </row>
    <row r="25" spans="1:32" ht="12.75">
      <c r="A25" s="16" t="s">
        <v>248</v>
      </c>
      <c r="B25" s="16" t="s">
        <v>159</v>
      </c>
      <c r="C25" s="17"/>
      <c r="D25" s="18">
        <v>0.5</v>
      </c>
      <c r="E25" s="46">
        <v>0.34</v>
      </c>
      <c r="F25" s="17" t="s">
        <v>169</v>
      </c>
      <c r="G25" s="17" t="s">
        <v>129</v>
      </c>
      <c r="H25" s="18">
        <v>0</v>
      </c>
      <c r="I25" s="17"/>
      <c r="J25" s="18">
        <v>0</v>
      </c>
      <c r="K25" s="37">
        <v>0</v>
      </c>
      <c r="L25" s="18">
        <f aca="true" t="shared" si="13" ref="L25:L32">SUM(D25)</f>
        <v>0.5</v>
      </c>
      <c r="M25" s="47">
        <f t="shared" si="4"/>
        <v>0.34</v>
      </c>
      <c r="N25" s="17"/>
      <c r="O25" s="131">
        <v>3277</v>
      </c>
      <c r="P25" s="18">
        <f t="shared" si="5"/>
        <v>0.344085</v>
      </c>
      <c r="Q25" s="18">
        <f t="shared" si="6"/>
        <v>0.275268</v>
      </c>
      <c r="R25" s="18">
        <f t="shared" si="7"/>
        <v>0.0204</v>
      </c>
      <c r="S25" s="18"/>
      <c r="T25" s="18">
        <f t="shared" si="8"/>
        <v>0.823685</v>
      </c>
      <c r="U25" s="46">
        <f t="shared" si="9"/>
        <v>0.5948680000000001</v>
      </c>
      <c r="V25" s="50" t="s">
        <v>131</v>
      </c>
      <c r="W25" s="50" t="s">
        <v>144</v>
      </c>
      <c r="X25" s="50">
        <f aca="true" t="shared" si="14" ref="X25:X32">SUM(U25)</f>
        <v>0.5948680000000001</v>
      </c>
      <c r="Y25" s="50"/>
      <c r="Z25" s="18"/>
      <c r="AA25" s="18">
        <f t="shared" si="10"/>
        <v>0</v>
      </c>
      <c r="AB25" s="18">
        <f t="shared" si="11"/>
        <v>0.5948680000000001</v>
      </c>
      <c r="AC25" s="37">
        <f>SUM(U25*0.7)</f>
        <v>0.41640760000000004</v>
      </c>
      <c r="AD25" s="62">
        <f t="shared" si="12"/>
        <v>0.41640760000000004</v>
      </c>
      <c r="AE25" s="58">
        <f>SUM(AD25*0.7)</f>
        <v>0.29148532</v>
      </c>
      <c r="AF25" s="17">
        <v>1</v>
      </c>
    </row>
    <row r="26" spans="1:32" ht="12.75">
      <c r="A26" s="16" t="s">
        <v>306</v>
      </c>
      <c r="B26" s="16" t="s">
        <v>159</v>
      </c>
      <c r="C26" s="17"/>
      <c r="D26" s="18">
        <v>0.2</v>
      </c>
      <c r="E26" s="46">
        <v>0.08</v>
      </c>
      <c r="F26" s="17" t="s">
        <v>169</v>
      </c>
      <c r="G26" s="17" t="s">
        <v>129</v>
      </c>
      <c r="H26" s="18">
        <v>0</v>
      </c>
      <c r="I26" s="17"/>
      <c r="J26" s="18">
        <v>0</v>
      </c>
      <c r="K26" s="37">
        <v>0</v>
      </c>
      <c r="L26" s="18">
        <f t="shared" si="13"/>
        <v>0.2</v>
      </c>
      <c r="M26" s="47">
        <f t="shared" si="4"/>
        <v>0.08</v>
      </c>
      <c r="N26" s="17"/>
      <c r="O26" s="131">
        <v>16759</v>
      </c>
      <c r="P26" s="18">
        <f t="shared" si="5"/>
        <v>1.759695</v>
      </c>
      <c r="Q26" s="18">
        <f t="shared" si="6"/>
        <v>1.407756</v>
      </c>
      <c r="R26" s="18">
        <f t="shared" si="7"/>
        <v>0.0048</v>
      </c>
      <c r="S26" s="18"/>
      <c r="T26" s="18">
        <f t="shared" si="8"/>
        <v>1.954895</v>
      </c>
      <c r="U26" s="46">
        <f t="shared" si="9"/>
        <v>1.4829560000000002</v>
      </c>
      <c r="V26" s="50" t="s">
        <v>131</v>
      </c>
      <c r="W26" s="50" t="s">
        <v>144</v>
      </c>
      <c r="X26" s="50">
        <f t="shared" si="14"/>
        <v>1.4829560000000002</v>
      </c>
      <c r="Y26" s="50"/>
      <c r="Z26" s="18"/>
      <c r="AA26" s="18">
        <f t="shared" si="10"/>
        <v>0</v>
      </c>
      <c r="AB26" s="18">
        <f t="shared" si="11"/>
        <v>1.4829560000000002</v>
      </c>
      <c r="AC26" s="37">
        <f>SUM(U26*0.7)</f>
        <v>1.0380692</v>
      </c>
      <c r="AD26" s="62">
        <f t="shared" si="12"/>
        <v>1.0380692</v>
      </c>
      <c r="AE26" s="58">
        <f>SUM(AD26*0.7)</f>
        <v>0.72664844</v>
      </c>
      <c r="AF26" s="17">
        <v>1</v>
      </c>
    </row>
    <row r="27" spans="1:32" ht="12.75">
      <c r="A27" s="16" t="s">
        <v>166</v>
      </c>
      <c r="B27" s="16" t="s">
        <v>159</v>
      </c>
      <c r="C27" s="17"/>
      <c r="D27" s="18">
        <v>1.5</v>
      </c>
      <c r="E27" s="46">
        <v>0.53</v>
      </c>
      <c r="F27" s="17" t="s">
        <v>128</v>
      </c>
      <c r="G27" s="17" t="s">
        <v>127</v>
      </c>
      <c r="H27" s="18">
        <v>0</v>
      </c>
      <c r="I27" s="17"/>
      <c r="J27" s="18">
        <v>0</v>
      </c>
      <c r="K27" s="37">
        <v>0</v>
      </c>
      <c r="L27" s="18">
        <f t="shared" si="13"/>
        <v>1.5</v>
      </c>
      <c r="M27" s="47">
        <f t="shared" si="4"/>
        <v>0.53</v>
      </c>
      <c r="N27" s="17"/>
      <c r="O27" s="131">
        <v>1208</v>
      </c>
      <c r="P27" s="18">
        <f t="shared" si="5"/>
        <v>0.12684</v>
      </c>
      <c r="Q27" s="18">
        <f t="shared" si="6"/>
        <v>0.101472</v>
      </c>
      <c r="R27" s="18">
        <f t="shared" si="7"/>
        <v>0.0318</v>
      </c>
      <c r="S27" s="18"/>
      <c r="T27" s="18">
        <f t="shared" si="8"/>
        <v>1.59504</v>
      </c>
      <c r="U27" s="46">
        <f t="shared" si="9"/>
        <v>0.599672</v>
      </c>
      <c r="V27" s="50" t="s">
        <v>131</v>
      </c>
      <c r="W27" s="50" t="s">
        <v>144</v>
      </c>
      <c r="X27" s="50">
        <f t="shared" si="14"/>
        <v>0.599672</v>
      </c>
      <c r="Y27" s="50"/>
      <c r="Z27" s="18">
        <v>0.41</v>
      </c>
      <c r="AA27" s="18">
        <f t="shared" si="10"/>
        <v>0.41</v>
      </c>
      <c r="AB27" s="18">
        <f t="shared" si="11"/>
        <v>0.599672</v>
      </c>
      <c r="AC27" s="37">
        <f>SUM(U27*0.7)</f>
        <v>0.4197704</v>
      </c>
      <c r="AD27" s="62">
        <f t="shared" si="12"/>
        <v>0.4197704</v>
      </c>
      <c r="AE27" s="58">
        <f>SUM(AD27*0.75)</f>
        <v>0.3148278</v>
      </c>
      <c r="AF27" s="17" t="s">
        <v>362</v>
      </c>
    </row>
    <row r="28" spans="1:32" ht="12.75">
      <c r="A28" s="16" t="s">
        <v>167</v>
      </c>
      <c r="B28" s="16" t="s">
        <v>159</v>
      </c>
      <c r="C28" s="17"/>
      <c r="D28" s="18">
        <v>1.5</v>
      </c>
      <c r="E28" s="46">
        <v>0.79</v>
      </c>
      <c r="F28" s="17" t="s">
        <v>169</v>
      </c>
      <c r="G28" s="17" t="s">
        <v>129</v>
      </c>
      <c r="H28" s="18">
        <v>0</v>
      </c>
      <c r="I28" s="17"/>
      <c r="J28" s="18">
        <v>0</v>
      </c>
      <c r="K28" s="37">
        <v>0</v>
      </c>
      <c r="L28" s="18">
        <f t="shared" si="13"/>
        <v>1.5</v>
      </c>
      <c r="M28" s="47">
        <f t="shared" si="4"/>
        <v>0.79</v>
      </c>
      <c r="N28" s="17"/>
      <c r="O28" s="131">
        <v>56</v>
      </c>
      <c r="P28" s="18">
        <f t="shared" si="5"/>
        <v>0.00588</v>
      </c>
      <c r="Q28" s="18">
        <f t="shared" si="6"/>
        <v>0.004704</v>
      </c>
      <c r="R28" s="18">
        <f t="shared" si="7"/>
        <v>0.0474</v>
      </c>
      <c r="S28" s="18"/>
      <c r="T28" s="18">
        <f t="shared" si="8"/>
        <v>1.4584800000000002</v>
      </c>
      <c r="U28" s="46">
        <f t="shared" si="9"/>
        <v>0.7473040000000001</v>
      </c>
      <c r="V28" s="50" t="s">
        <v>131</v>
      </c>
      <c r="W28" s="50" t="s">
        <v>144</v>
      </c>
      <c r="X28" s="50">
        <f t="shared" si="14"/>
        <v>0.7473040000000001</v>
      </c>
      <c r="Y28" s="50"/>
      <c r="Z28" s="18">
        <v>0.79</v>
      </c>
      <c r="AA28" s="18">
        <f t="shared" si="10"/>
        <v>0.79</v>
      </c>
      <c r="AB28" s="18">
        <v>0.79</v>
      </c>
      <c r="AC28" s="37">
        <v>0.79</v>
      </c>
      <c r="AD28" s="62">
        <f t="shared" si="12"/>
        <v>0.79</v>
      </c>
      <c r="AE28" s="58">
        <f>SUM(AD28*1)</f>
        <v>0.79</v>
      </c>
      <c r="AF28" s="17" t="s">
        <v>363</v>
      </c>
    </row>
    <row r="29" spans="1:32" ht="12.75">
      <c r="A29" s="16" t="s">
        <v>249</v>
      </c>
      <c r="B29" s="16" t="s">
        <v>159</v>
      </c>
      <c r="C29" s="17"/>
      <c r="D29" s="18">
        <v>2</v>
      </c>
      <c r="E29" s="46">
        <v>0.47</v>
      </c>
      <c r="F29" s="17" t="s">
        <v>128</v>
      </c>
      <c r="G29" s="17" t="s">
        <v>127</v>
      </c>
      <c r="H29" s="18">
        <v>0</v>
      </c>
      <c r="I29" s="17"/>
      <c r="J29" s="18">
        <v>0</v>
      </c>
      <c r="K29" s="37">
        <v>0</v>
      </c>
      <c r="L29" s="18">
        <f t="shared" si="13"/>
        <v>2</v>
      </c>
      <c r="M29" s="47">
        <f t="shared" si="4"/>
        <v>0.47</v>
      </c>
      <c r="N29" s="17"/>
      <c r="O29" s="131">
        <v>3277</v>
      </c>
      <c r="P29" s="18">
        <f t="shared" si="5"/>
        <v>0.344085</v>
      </c>
      <c r="Q29" s="18">
        <f t="shared" si="6"/>
        <v>0.275268</v>
      </c>
      <c r="R29" s="18">
        <f t="shared" si="7"/>
        <v>0.028199999999999996</v>
      </c>
      <c r="S29" s="18"/>
      <c r="T29" s="18">
        <f t="shared" si="8"/>
        <v>2.3158849999999997</v>
      </c>
      <c r="U29" s="46">
        <f t="shared" si="9"/>
        <v>0.717068</v>
      </c>
      <c r="V29" s="50" t="s">
        <v>131</v>
      </c>
      <c r="W29" s="50" t="s">
        <v>144</v>
      </c>
      <c r="X29" s="50">
        <f t="shared" si="14"/>
        <v>0.717068</v>
      </c>
      <c r="Y29" s="50"/>
      <c r="Z29" s="18">
        <v>0.52</v>
      </c>
      <c r="AA29" s="18">
        <f t="shared" si="10"/>
        <v>0.52</v>
      </c>
      <c r="AB29" s="18">
        <f t="shared" si="11"/>
        <v>0.717068</v>
      </c>
      <c r="AC29" s="37">
        <f>SUM(U29*0.7)</f>
        <v>0.5019476</v>
      </c>
      <c r="AD29" s="62">
        <f t="shared" si="12"/>
        <v>0.5019476</v>
      </c>
      <c r="AE29" s="58">
        <f>SUM(AD29*0.7)</f>
        <v>0.35136332000000003</v>
      </c>
      <c r="AF29" s="17" t="s">
        <v>364</v>
      </c>
    </row>
    <row r="30" spans="1:32" ht="12.75">
      <c r="A30" s="16" t="s">
        <v>168</v>
      </c>
      <c r="B30" s="16" t="s">
        <v>159</v>
      </c>
      <c r="C30" s="17"/>
      <c r="D30" s="18">
        <v>0.06</v>
      </c>
      <c r="E30" s="46">
        <v>0.02</v>
      </c>
      <c r="F30" s="17" t="s">
        <v>128</v>
      </c>
      <c r="G30" s="17" t="s">
        <v>127</v>
      </c>
      <c r="H30" s="18">
        <v>0</v>
      </c>
      <c r="I30" s="17"/>
      <c r="J30" s="18">
        <v>0.1</v>
      </c>
      <c r="K30" s="37">
        <v>0.02</v>
      </c>
      <c r="L30" s="18">
        <f t="shared" si="13"/>
        <v>0.06</v>
      </c>
      <c r="M30" s="47">
        <f t="shared" si="4"/>
        <v>0</v>
      </c>
      <c r="N30" s="17" t="s">
        <v>108</v>
      </c>
      <c r="O30" s="131">
        <v>0</v>
      </c>
      <c r="P30" s="18">
        <f t="shared" si="5"/>
        <v>0</v>
      </c>
      <c r="Q30" s="18">
        <f t="shared" si="6"/>
        <v>0</v>
      </c>
      <c r="R30" s="18">
        <f t="shared" si="7"/>
        <v>0.0012</v>
      </c>
      <c r="S30" s="18"/>
      <c r="T30" s="18">
        <f t="shared" si="8"/>
        <v>0.0588</v>
      </c>
      <c r="U30" s="46">
        <f t="shared" si="9"/>
        <v>0.0188</v>
      </c>
      <c r="V30" s="50" t="s">
        <v>131</v>
      </c>
      <c r="W30" s="50" t="s">
        <v>144</v>
      </c>
      <c r="X30" s="50">
        <f t="shared" si="14"/>
        <v>0.0188</v>
      </c>
      <c r="Y30" s="50"/>
      <c r="Z30" s="18"/>
      <c r="AA30" s="18">
        <f t="shared" si="10"/>
        <v>0.02</v>
      </c>
      <c r="AB30" s="18">
        <f t="shared" si="11"/>
        <v>0.0188</v>
      </c>
      <c r="AC30" s="37">
        <f>SUM(U30*0.7)</f>
        <v>0.01316</v>
      </c>
      <c r="AD30" s="62">
        <f t="shared" si="12"/>
        <v>-0.006840000000000001</v>
      </c>
      <c r="AE30" s="58">
        <f>SUM(AD30*0.7)</f>
        <v>-0.004788</v>
      </c>
      <c r="AF30" s="17" t="s">
        <v>278</v>
      </c>
    </row>
    <row r="31" spans="1:32" ht="12.75">
      <c r="A31" s="16" t="s">
        <v>315</v>
      </c>
      <c r="B31" s="16" t="s">
        <v>159</v>
      </c>
      <c r="C31" s="17"/>
      <c r="D31" s="18">
        <v>0.1</v>
      </c>
      <c r="E31" s="46">
        <v>0.03</v>
      </c>
      <c r="F31" s="17" t="s">
        <v>169</v>
      </c>
      <c r="G31" s="17" t="s">
        <v>129</v>
      </c>
      <c r="H31" s="18">
        <v>0</v>
      </c>
      <c r="I31" s="17"/>
      <c r="J31" s="18">
        <v>0.1</v>
      </c>
      <c r="K31" s="37">
        <v>0</v>
      </c>
      <c r="L31" s="18">
        <f t="shared" si="13"/>
        <v>0.1</v>
      </c>
      <c r="M31" s="47">
        <f t="shared" si="4"/>
        <v>0.03</v>
      </c>
      <c r="N31" s="17"/>
      <c r="O31" s="131">
        <v>0</v>
      </c>
      <c r="P31" s="18">
        <f t="shared" si="5"/>
        <v>0</v>
      </c>
      <c r="Q31" s="18">
        <f t="shared" si="6"/>
        <v>0</v>
      </c>
      <c r="R31" s="18">
        <f t="shared" si="7"/>
        <v>0.0018</v>
      </c>
      <c r="S31" s="18"/>
      <c r="T31" s="18">
        <f t="shared" si="8"/>
        <v>0.09820000000000001</v>
      </c>
      <c r="U31" s="46">
        <f t="shared" si="9"/>
        <v>0.0282</v>
      </c>
      <c r="V31" s="50" t="s">
        <v>131</v>
      </c>
      <c r="W31" s="50" t="s">
        <v>144</v>
      </c>
      <c r="X31" s="50">
        <f t="shared" si="14"/>
        <v>0.0282</v>
      </c>
      <c r="Y31" s="50"/>
      <c r="Z31" s="18"/>
      <c r="AA31" s="18">
        <f t="shared" si="10"/>
        <v>0</v>
      </c>
      <c r="AB31" s="18">
        <f t="shared" si="11"/>
        <v>0.0282</v>
      </c>
      <c r="AC31" s="37">
        <f>SUM(U31*0.7)</f>
        <v>0.019739999999999997</v>
      </c>
      <c r="AD31" s="62">
        <f t="shared" si="12"/>
        <v>0.019739999999999997</v>
      </c>
      <c r="AE31" s="58">
        <f>SUM(AD31*0.7)</f>
        <v>0.013817999999999997</v>
      </c>
      <c r="AF31" s="17" t="s">
        <v>105</v>
      </c>
    </row>
    <row r="32" spans="1:32" ht="12.75">
      <c r="A32" s="16" t="s">
        <v>250</v>
      </c>
      <c r="B32" s="16" t="s">
        <v>159</v>
      </c>
      <c r="C32" s="17"/>
      <c r="D32" s="18">
        <v>0.7</v>
      </c>
      <c r="E32" s="46">
        <v>0.48</v>
      </c>
      <c r="F32" s="17" t="s">
        <v>169</v>
      </c>
      <c r="G32" s="17" t="s">
        <v>129</v>
      </c>
      <c r="H32" s="18">
        <v>0</v>
      </c>
      <c r="I32" s="17"/>
      <c r="J32" s="18">
        <v>0</v>
      </c>
      <c r="K32" s="37">
        <v>0</v>
      </c>
      <c r="L32" s="18">
        <f t="shared" si="13"/>
        <v>0.7</v>
      </c>
      <c r="M32" s="47">
        <f t="shared" si="4"/>
        <v>0.48</v>
      </c>
      <c r="N32" s="17"/>
      <c r="O32" s="131">
        <v>5482</v>
      </c>
      <c r="P32" s="18">
        <f t="shared" si="5"/>
        <v>0.57561</v>
      </c>
      <c r="Q32" s="18">
        <f t="shared" si="6"/>
        <v>0.460488</v>
      </c>
      <c r="R32" s="18">
        <f t="shared" si="7"/>
        <v>0.0288</v>
      </c>
      <c r="S32" s="18"/>
      <c r="T32" s="18">
        <f t="shared" si="8"/>
        <v>1.24681</v>
      </c>
      <c r="U32" s="46">
        <f t="shared" si="9"/>
        <v>0.9116879999999999</v>
      </c>
      <c r="V32" s="50" t="s">
        <v>131</v>
      </c>
      <c r="W32" s="50" t="s">
        <v>144</v>
      </c>
      <c r="X32" s="50">
        <f t="shared" si="14"/>
        <v>0.9116879999999999</v>
      </c>
      <c r="Y32" s="50"/>
      <c r="Z32" s="18">
        <v>0.47</v>
      </c>
      <c r="AA32" s="18">
        <f t="shared" si="10"/>
        <v>0.47</v>
      </c>
      <c r="AB32" s="18">
        <f t="shared" si="11"/>
        <v>0.9116879999999999</v>
      </c>
      <c r="AC32" s="37">
        <f>SUM(U32*0.7)</f>
        <v>0.6381815999999999</v>
      </c>
      <c r="AD32" s="62">
        <f t="shared" si="12"/>
        <v>0.6381815999999999</v>
      </c>
      <c r="AE32" s="58">
        <f>SUM(AD32*0.7)</f>
        <v>0.4467271199999999</v>
      </c>
      <c r="AF32" s="17" t="s">
        <v>365</v>
      </c>
    </row>
    <row r="33" spans="1:32" ht="15">
      <c r="A33" s="14" t="s">
        <v>165</v>
      </c>
      <c r="B33" s="14"/>
      <c r="C33" s="15"/>
      <c r="D33" s="51"/>
      <c r="E33" s="51"/>
      <c r="F33" s="15"/>
      <c r="G33" s="15"/>
      <c r="H33" s="51"/>
      <c r="I33" s="15"/>
      <c r="J33" s="51"/>
      <c r="K33" s="51"/>
      <c r="L33" s="51"/>
      <c r="M33" s="52"/>
      <c r="N33" s="15"/>
      <c r="O33" s="15"/>
      <c r="P33" s="15"/>
      <c r="Q33" s="15"/>
      <c r="R33" s="15"/>
      <c r="S33" s="15"/>
      <c r="T33" s="15"/>
      <c r="U33" s="53"/>
      <c r="V33" s="53"/>
      <c r="W33" s="53"/>
      <c r="X33" s="53"/>
      <c r="Y33" s="53"/>
      <c r="Z33" s="15"/>
      <c r="AA33" s="52">
        <f t="shared" si="10"/>
        <v>0</v>
      </c>
      <c r="AB33" s="15"/>
      <c r="AC33" s="15"/>
      <c r="AD33" s="15"/>
      <c r="AE33" s="15"/>
      <c r="AF33" s="15"/>
    </row>
    <row r="34" spans="1:32" ht="15">
      <c r="A34" s="16" t="s">
        <v>13</v>
      </c>
      <c r="B34" s="16"/>
      <c r="C34" s="17">
        <v>0</v>
      </c>
      <c r="D34" s="18">
        <v>0</v>
      </c>
      <c r="E34" s="46">
        <v>0</v>
      </c>
      <c r="F34" s="17"/>
      <c r="G34" s="17"/>
      <c r="H34" s="18">
        <v>0</v>
      </c>
      <c r="I34" s="17"/>
      <c r="J34" s="18">
        <v>0</v>
      </c>
      <c r="K34" s="37">
        <v>0</v>
      </c>
      <c r="L34" s="18">
        <v>0</v>
      </c>
      <c r="M34" s="47">
        <f>SUM(E34-K34)</f>
        <v>0</v>
      </c>
      <c r="N34" s="17"/>
      <c r="O34" s="131">
        <v>0</v>
      </c>
      <c r="P34" s="18">
        <v>0</v>
      </c>
      <c r="Q34" s="18">
        <v>0</v>
      </c>
      <c r="R34" s="18">
        <v>0</v>
      </c>
      <c r="S34" s="18">
        <v>0</v>
      </c>
      <c r="T34" s="18">
        <v>0</v>
      </c>
      <c r="U34" s="46">
        <v>0</v>
      </c>
      <c r="V34" s="43"/>
      <c r="W34" s="43"/>
      <c r="X34" s="18">
        <v>0</v>
      </c>
      <c r="Y34" s="43"/>
      <c r="Z34" s="18">
        <v>0</v>
      </c>
      <c r="AA34" s="18">
        <f t="shared" si="10"/>
        <v>0</v>
      </c>
      <c r="AB34" s="18">
        <v>0</v>
      </c>
      <c r="AC34" s="37">
        <v>0</v>
      </c>
      <c r="AD34" s="62">
        <v>0</v>
      </c>
      <c r="AE34" s="58">
        <v>0</v>
      </c>
      <c r="AF34" s="20"/>
    </row>
    <row r="35" spans="1:32" ht="15.75" thickBot="1">
      <c r="A35" s="22" t="s">
        <v>14</v>
      </c>
      <c r="B35" s="22"/>
      <c r="C35" s="23">
        <v>9</v>
      </c>
      <c r="D35" s="24">
        <f>SUM(D24:D32)</f>
        <v>7.14</v>
      </c>
      <c r="E35" s="132">
        <f>SUM(E24:E32)</f>
        <v>3.2099999999999995</v>
      </c>
      <c r="F35" s="23"/>
      <c r="G35" s="23"/>
      <c r="H35" s="24">
        <f>SUM(H24:H32)</f>
        <v>0</v>
      </c>
      <c r="I35" s="23"/>
      <c r="J35" s="24">
        <f>SUM(J24:J32)</f>
        <v>0.2</v>
      </c>
      <c r="K35" s="133">
        <f>SUM(K24:K32)</f>
        <v>0.02</v>
      </c>
      <c r="L35" s="24">
        <f>SUM(L24:L32)</f>
        <v>7.14</v>
      </c>
      <c r="M35" s="47">
        <f>SUM(M24:M32)</f>
        <v>3.1899999999999995</v>
      </c>
      <c r="N35" s="23"/>
      <c r="O35" s="69">
        <f aca="true" t="shared" si="15" ref="O35:U35">SUM(O24:O32)</f>
        <v>30714</v>
      </c>
      <c r="P35" s="24">
        <f t="shared" si="15"/>
        <v>3.22497</v>
      </c>
      <c r="Q35" s="24">
        <f t="shared" si="15"/>
        <v>2.5799760000000003</v>
      </c>
      <c r="R35" s="24">
        <f t="shared" si="15"/>
        <v>0.1926</v>
      </c>
      <c r="S35" s="24">
        <f t="shared" si="15"/>
        <v>0</v>
      </c>
      <c r="T35" s="24">
        <f t="shared" si="15"/>
        <v>10.172369999999999</v>
      </c>
      <c r="U35" s="132">
        <f t="shared" si="15"/>
        <v>5.597376</v>
      </c>
      <c r="V35" s="45"/>
      <c r="W35" s="45"/>
      <c r="X35" s="24">
        <f>SUM(X24:X32)</f>
        <v>5.597376</v>
      </c>
      <c r="Y35" s="45"/>
      <c r="Z35" s="24">
        <f aca="true" t="shared" si="16" ref="Z35:AE35">SUM(Z24:Z32)</f>
        <v>2.19</v>
      </c>
      <c r="AA35" s="24">
        <f t="shared" si="16"/>
        <v>2.21</v>
      </c>
      <c r="AB35" s="24">
        <f t="shared" si="16"/>
        <v>5.640072</v>
      </c>
      <c r="AC35" s="133">
        <f t="shared" si="16"/>
        <v>4.1850504</v>
      </c>
      <c r="AD35" s="117">
        <f t="shared" si="16"/>
        <v>4.1650504</v>
      </c>
      <c r="AE35" s="59">
        <f t="shared" si="16"/>
        <v>3.1735237999999995</v>
      </c>
      <c r="AF35" s="25"/>
    </row>
    <row r="36" spans="1:32" ht="13.5" thickBot="1">
      <c r="A36" s="26" t="s">
        <v>15</v>
      </c>
      <c r="B36" s="65"/>
      <c r="C36" s="27">
        <f>SUM(C34,C35)</f>
        <v>9</v>
      </c>
      <c r="D36" s="33">
        <f>SUM(D34:D35)</f>
        <v>7.14</v>
      </c>
      <c r="E36" s="134">
        <f>SUM(E34:E35)</f>
        <v>3.2099999999999995</v>
      </c>
      <c r="F36" s="27"/>
      <c r="G36" s="27"/>
      <c r="H36" s="33">
        <f>SUM(H34:H35)</f>
        <v>0</v>
      </c>
      <c r="I36" s="135">
        <f>(H36/E36)</f>
        <v>0</v>
      </c>
      <c r="J36" s="33">
        <f>SUM(J34:J35)</f>
        <v>0.2</v>
      </c>
      <c r="K36" s="136">
        <f>SUM(K34:K35)</f>
        <v>0.02</v>
      </c>
      <c r="L36" s="33">
        <f>SUM(L34:L35)</f>
        <v>7.14</v>
      </c>
      <c r="M36" s="48">
        <f>SUM(M34:M35)</f>
        <v>3.1899999999999995</v>
      </c>
      <c r="N36" s="33"/>
      <c r="O36" s="138">
        <f aca="true" t="shared" si="17" ref="O36:U36">SUM(O34:O35)</f>
        <v>30714</v>
      </c>
      <c r="P36" s="33">
        <f t="shared" si="17"/>
        <v>3.22497</v>
      </c>
      <c r="Q36" s="33">
        <f t="shared" si="17"/>
        <v>2.5799760000000003</v>
      </c>
      <c r="R36" s="33">
        <f t="shared" si="17"/>
        <v>0.1926</v>
      </c>
      <c r="S36" s="33">
        <f t="shared" si="17"/>
        <v>0</v>
      </c>
      <c r="T36" s="33">
        <f t="shared" si="17"/>
        <v>10.172369999999999</v>
      </c>
      <c r="U36" s="134">
        <f t="shared" si="17"/>
        <v>5.597376</v>
      </c>
      <c r="V36" s="33"/>
      <c r="W36" s="33"/>
      <c r="X36" s="33">
        <f>SUM(X34:X35)</f>
        <v>5.597376</v>
      </c>
      <c r="Y36" s="135">
        <f>SUM(X36/U36)</f>
        <v>1</v>
      </c>
      <c r="Z36" s="33">
        <f aca="true" t="shared" si="18" ref="Z36:AE36">SUM(Z34:Z35)</f>
        <v>2.19</v>
      </c>
      <c r="AA36" s="33">
        <f t="shared" si="18"/>
        <v>2.21</v>
      </c>
      <c r="AB36" s="33">
        <f t="shared" si="18"/>
        <v>5.640072</v>
      </c>
      <c r="AC36" s="136">
        <f t="shared" si="18"/>
        <v>4.1850504</v>
      </c>
      <c r="AD36" s="118">
        <f t="shared" si="18"/>
        <v>4.1650504</v>
      </c>
      <c r="AE36" s="60">
        <f t="shared" si="18"/>
        <v>3.1735237999999995</v>
      </c>
      <c r="AF36" s="34"/>
    </row>
    <row r="37" spans="1:32" ht="14.25">
      <c r="A37" s="77" t="s">
        <v>182</v>
      </c>
      <c r="B37" s="77"/>
      <c r="C37" s="76"/>
      <c r="D37" s="75"/>
      <c r="E37" s="75"/>
      <c r="F37" s="76"/>
      <c r="G37" s="76"/>
      <c r="H37" s="76"/>
      <c r="I37" s="76"/>
      <c r="J37" s="75"/>
      <c r="K37" s="76"/>
      <c r="L37" s="75"/>
      <c r="M37" s="76"/>
      <c r="N37" s="76"/>
      <c r="O37" s="73">
        <v>47570</v>
      </c>
      <c r="P37" s="75"/>
      <c r="Q37" s="75"/>
      <c r="R37" s="75"/>
      <c r="S37" s="75"/>
      <c r="T37" s="75"/>
      <c r="U37" s="75"/>
      <c r="V37" s="75"/>
      <c r="W37" s="75"/>
      <c r="X37" s="75"/>
      <c r="Y37" s="75"/>
      <c r="Z37" s="75"/>
      <c r="AA37" s="75"/>
      <c r="AB37" s="75"/>
      <c r="AC37" s="75"/>
      <c r="AD37" s="75"/>
      <c r="AE37" s="75"/>
      <c r="AF37" s="5" t="s">
        <v>265</v>
      </c>
    </row>
    <row r="38" spans="1:32" ht="12.75">
      <c r="A38" s="77" t="s">
        <v>173</v>
      </c>
      <c r="B38" s="77"/>
      <c r="C38" s="76"/>
      <c r="D38" s="75"/>
      <c r="E38" s="75"/>
      <c r="F38" s="76"/>
      <c r="G38" s="76"/>
      <c r="H38" s="76"/>
      <c r="I38" s="76"/>
      <c r="J38" s="75"/>
      <c r="K38" s="76"/>
      <c r="L38" s="75"/>
      <c r="M38" s="76"/>
      <c r="N38" s="76"/>
      <c r="O38" s="74">
        <f>SUM(O36/O37)</f>
        <v>0.6456590287996636</v>
      </c>
      <c r="P38" s="75"/>
      <c r="Q38" s="75"/>
      <c r="R38" s="75"/>
      <c r="S38" s="75"/>
      <c r="T38" s="75"/>
      <c r="U38" s="75"/>
      <c r="V38" s="75"/>
      <c r="W38" s="75"/>
      <c r="X38" s="75"/>
      <c r="Y38" s="75"/>
      <c r="Z38" s="75"/>
      <c r="AA38" s="75"/>
      <c r="AB38" s="75"/>
      <c r="AC38" s="75"/>
      <c r="AD38" s="75"/>
      <c r="AE38" s="75"/>
      <c r="AF38" s="5"/>
    </row>
    <row r="39" spans="1:32" ht="12.75">
      <c r="A39" s="77"/>
      <c r="B39" s="77"/>
      <c r="C39" s="76"/>
      <c r="D39" s="75"/>
      <c r="E39" s="75"/>
      <c r="F39" s="76"/>
      <c r="G39" s="76"/>
      <c r="H39" s="76"/>
      <c r="I39" s="76"/>
      <c r="J39" s="75"/>
      <c r="K39" s="76"/>
      <c r="L39" s="75"/>
      <c r="M39" s="76"/>
      <c r="N39" s="76"/>
      <c r="O39" s="83"/>
      <c r="P39" s="75"/>
      <c r="Q39" s="75"/>
      <c r="R39" s="75"/>
      <c r="S39" s="75"/>
      <c r="T39" s="75"/>
      <c r="U39" s="75"/>
      <c r="V39" s="75"/>
      <c r="W39" s="75"/>
      <c r="X39" s="75"/>
      <c r="Y39" s="75"/>
      <c r="Z39" s="75"/>
      <c r="AA39" s="75"/>
      <c r="AB39" s="75"/>
      <c r="AC39" s="75"/>
      <c r="AD39" s="75"/>
      <c r="AE39" s="75"/>
      <c r="AF39" s="5"/>
    </row>
    <row r="40" spans="1:32" ht="12.75">
      <c r="A40" s="77"/>
      <c r="B40" s="77"/>
      <c r="C40" s="76"/>
      <c r="D40" s="75"/>
      <c r="E40" s="75"/>
      <c r="F40" s="76"/>
      <c r="G40" s="76"/>
      <c r="H40" s="76"/>
      <c r="I40" s="76"/>
      <c r="J40" s="75"/>
      <c r="K40" s="76"/>
      <c r="L40" s="75"/>
      <c r="M40" s="76"/>
      <c r="N40" s="76"/>
      <c r="O40" s="83"/>
      <c r="P40" s="75"/>
      <c r="Q40" s="75"/>
      <c r="R40" s="75"/>
      <c r="S40" s="75"/>
      <c r="T40" s="75"/>
      <c r="U40" s="75"/>
      <c r="V40" s="75"/>
      <c r="W40" s="75"/>
      <c r="X40" s="75"/>
      <c r="Y40" s="75"/>
      <c r="Z40" s="75"/>
      <c r="AA40" s="75"/>
      <c r="AB40" s="75"/>
      <c r="AC40" s="75"/>
      <c r="AD40" s="75"/>
      <c r="AE40" s="75"/>
      <c r="AF40" s="5"/>
    </row>
    <row r="41" spans="1:32" ht="27.75" customHeight="1">
      <c r="A41" s="206"/>
      <c r="B41" s="64"/>
      <c r="C41" s="10"/>
      <c r="D41" s="198" t="s">
        <v>285</v>
      </c>
      <c r="E41" s="198"/>
      <c r="F41" s="199" t="s">
        <v>286</v>
      </c>
      <c r="G41" s="199"/>
      <c r="H41" s="113" t="s">
        <v>131</v>
      </c>
      <c r="I41" s="109">
        <v>2010</v>
      </c>
      <c r="J41" s="208" t="s">
        <v>287</v>
      </c>
      <c r="K41" s="208"/>
      <c r="L41" s="209" t="s">
        <v>288</v>
      </c>
      <c r="M41" s="209"/>
      <c r="N41" s="10">
        <v>2010</v>
      </c>
      <c r="O41" s="68" t="s">
        <v>289</v>
      </c>
      <c r="P41" s="199" t="s">
        <v>290</v>
      </c>
      <c r="Q41" s="199"/>
      <c r="R41" s="199" t="s">
        <v>291</v>
      </c>
      <c r="S41" s="199"/>
      <c r="T41" s="198" t="s">
        <v>292</v>
      </c>
      <c r="U41" s="198"/>
      <c r="V41" s="199" t="s">
        <v>293</v>
      </c>
      <c r="W41" s="199"/>
      <c r="X41" s="114" t="s">
        <v>298</v>
      </c>
      <c r="Y41" s="114" t="s">
        <v>299</v>
      </c>
      <c r="Z41" s="200" t="s">
        <v>294</v>
      </c>
      <c r="AA41" s="40">
        <v>2020</v>
      </c>
      <c r="AB41" s="207" t="s">
        <v>295</v>
      </c>
      <c r="AC41" s="208"/>
      <c r="AD41" s="61" t="s">
        <v>296</v>
      </c>
      <c r="AE41" s="57" t="s">
        <v>296</v>
      </c>
      <c r="AF41" s="10"/>
    </row>
    <row r="42" spans="1:32" ht="12.75">
      <c r="A42" s="206"/>
      <c r="B42" s="66" t="s">
        <v>153</v>
      </c>
      <c r="C42" s="10" t="s">
        <v>0</v>
      </c>
      <c r="D42" s="198"/>
      <c r="E42" s="198"/>
      <c r="F42" s="199"/>
      <c r="G42" s="199"/>
      <c r="H42" s="113"/>
      <c r="I42" s="109" t="s">
        <v>131</v>
      </c>
      <c r="J42" s="208"/>
      <c r="K42" s="208"/>
      <c r="L42" s="209"/>
      <c r="M42" s="209"/>
      <c r="N42" s="10" t="s">
        <v>2</v>
      </c>
      <c r="O42" s="68" t="s">
        <v>161</v>
      </c>
      <c r="P42" s="199"/>
      <c r="Q42" s="199"/>
      <c r="R42" s="199"/>
      <c r="S42" s="199"/>
      <c r="T42" s="198"/>
      <c r="U42" s="198"/>
      <c r="V42" s="199"/>
      <c r="W42" s="199"/>
      <c r="X42" s="114" t="s">
        <v>131</v>
      </c>
      <c r="Y42" s="114"/>
      <c r="Z42" s="201"/>
      <c r="AA42" s="41" t="s">
        <v>145</v>
      </c>
      <c r="AB42" s="207"/>
      <c r="AC42" s="208"/>
      <c r="AD42" s="61" t="s">
        <v>145</v>
      </c>
      <c r="AE42" s="57" t="s">
        <v>297</v>
      </c>
      <c r="AF42" s="10" t="s">
        <v>3</v>
      </c>
    </row>
    <row r="43" spans="1:32" ht="14.25">
      <c r="A43" s="206"/>
      <c r="B43" s="66" t="s">
        <v>151</v>
      </c>
      <c r="C43" s="10" t="s">
        <v>1</v>
      </c>
      <c r="D43" s="198"/>
      <c r="E43" s="198"/>
      <c r="F43" s="199"/>
      <c r="G43" s="199"/>
      <c r="H43" s="113"/>
      <c r="I43" s="109"/>
      <c r="J43" s="208"/>
      <c r="K43" s="208"/>
      <c r="L43" s="209"/>
      <c r="M43" s="209"/>
      <c r="N43" s="10" t="s">
        <v>97</v>
      </c>
      <c r="O43" s="68" t="s">
        <v>270</v>
      </c>
      <c r="P43" s="199"/>
      <c r="Q43" s="199"/>
      <c r="R43" s="199"/>
      <c r="S43" s="199"/>
      <c r="T43" s="198"/>
      <c r="U43" s="198"/>
      <c r="V43" s="199"/>
      <c r="W43" s="199"/>
      <c r="X43" s="109"/>
      <c r="Y43" s="109"/>
      <c r="Z43" s="202"/>
      <c r="AA43" s="39" t="s">
        <v>143</v>
      </c>
      <c r="AB43" s="208"/>
      <c r="AC43" s="208"/>
      <c r="AD43" s="61"/>
      <c r="AE43" s="57"/>
      <c r="AF43" s="125"/>
    </row>
    <row r="44" spans="1:32" ht="46.5">
      <c r="A44" s="78" t="s">
        <v>197</v>
      </c>
      <c r="B44" s="10" t="s">
        <v>154</v>
      </c>
      <c r="C44" s="10" t="s">
        <v>302</v>
      </c>
      <c r="D44" s="10" t="s">
        <v>5</v>
      </c>
      <c r="E44" s="11" t="s">
        <v>7</v>
      </c>
      <c r="F44" s="10" t="s">
        <v>95</v>
      </c>
      <c r="G44" s="10" t="s">
        <v>96</v>
      </c>
      <c r="H44" s="113" t="s">
        <v>7</v>
      </c>
      <c r="I44" s="109"/>
      <c r="J44" s="10" t="s">
        <v>5</v>
      </c>
      <c r="K44" s="12" t="s">
        <v>277</v>
      </c>
      <c r="L44" s="10" t="s">
        <v>5</v>
      </c>
      <c r="M44" s="42" t="s">
        <v>7</v>
      </c>
      <c r="N44" s="10"/>
      <c r="O44" s="68"/>
      <c r="P44" s="10" t="s">
        <v>5</v>
      </c>
      <c r="Q44" s="10" t="s">
        <v>7</v>
      </c>
      <c r="R44" s="10" t="s">
        <v>272</v>
      </c>
      <c r="S44" s="10" t="s">
        <v>273</v>
      </c>
      <c r="T44" s="10" t="s">
        <v>5</v>
      </c>
      <c r="U44" s="11" t="s">
        <v>7</v>
      </c>
      <c r="V44" s="10" t="s">
        <v>95</v>
      </c>
      <c r="W44" s="10" t="s">
        <v>96</v>
      </c>
      <c r="X44" s="109"/>
      <c r="Y44" s="109"/>
      <c r="Z44" s="10"/>
      <c r="AA44" s="10"/>
      <c r="AB44" s="10" t="s">
        <v>5</v>
      </c>
      <c r="AC44" s="12" t="s">
        <v>334</v>
      </c>
      <c r="AD44" s="61" t="s">
        <v>335</v>
      </c>
      <c r="AE44" s="57" t="s">
        <v>336</v>
      </c>
      <c r="AF44" s="125"/>
    </row>
    <row r="45" spans="1:32" ht="12.75">
      <c r="A45" s="10"/>
      <c r="B45" s="10"/>
      <c r="C45" s="125"/>
      <c r="D45" s="10" t="s">
        <v>6</v>
      </c>
      <c r="E45" s="11" t="s">
        <v>6</v>
      </c>
      <c r="F45" s="10"/>
      <c r="G45" s="10"/>
      <c r="H45" s="113" t="s">
        <v>6</v>
      </c>
      <c r="I45" s="109" t="s">
        <v>300</v>
      </c>
      <c r="J45" s="10" t="s">
        <v>6</v>
      </c>
      <c r="K45" s="12" t="s">
        <v>6</v>
      </c>
      <c r="L45" s="10" t="s">
        <v>6</v>
      </c>
      <c r="M45" s="42" t="s">
        <v>6</v>
      </c>
      <c r="N45" s="125"/>
      <c r="O45" s="126"/>
      <c r="P45" s="10" t="s">
        <v>6</v>
      </c>
      <c r="Q45" s="10" t="s">
        <v>6</v>
      </c>
      <c r="R45" s="10" t="s">
        <v>6</v>
      </c>
      <c r="S45" s="10" t="s">
        <v>6</v>
      </c>
      <c r="T45" s="10" t="s">
        <v>6</v>
      </c>
      <c r="U45" s="11" t="s">
        <v>6</v>
      </c>
      <c r="V45" s="10"/>
      <c r="W45" s="10"/>
      <c r="X45" s="109" t="s">
        <v>6</v>
      </c>
      <c r="Y45" s="109" t="s">
        <v>300</v>
      </c>
      <c r="Z45" s="10" t="s">
        <v>6</v>
      </c>
      <c r="AA45" s="10" t="s">
        <v>6</v>
      </c>
      <c r="AB45" s="10" t="s">
        <v>6</v>
      </c>
      <c r="AC45" s="12" t="s">
        <v>6</v>
      </c>
      <c r="AD45" s="61" t="s">
        <v>6</v>
      </c>
      <c r="AE45" s="57" t="s">
        <v>6</v>
      </c>
      <c r="AF45" s="125"/>
    </row>
    <row r="46" spans="1:32" ht="12.75">
      <c r="A46" s="10" t="s">
        <v>4</v>
      </c>
      <c r="B46" s="10"/>
      <c r="C46" s="125"/>
      <c r="D46" s="125"/>
      <c r="E46" s="127"/>
      <c r="F46" s="125"/>
      <c r="G46" s="125"/>
      <c r="H46" s="125"/>
      <c r="I46" s="125"/>
      <c r="J46" s="125"/>
      <c r="K46" s="128"/>
      <c r="L46" s="125"/>
      <c r="M46" s="129"/>
      <c r="N46" s="125"/>
      <c r="O46" s="126"/>
      <c r="P46" s="125"/>
      <c r="Q46" s="125"/>
      <c r="R46" s="125"/>
      <c r="S46" s="125"/>
      <c r="T46" s="125"/>
      <c r="U46" s="13"/>
      <c r="V46" s="44"/>
      <c r="W46" s="44"/>
      <c r="X46" s="44"/>
      <c r="Y46" s="44"/>
      <c r="Z46" s="125"/>
      <c r="AA46" s="125"/>
      <c r="AB46" s="125"/>
      <c r="AC46" s="128"/>
      <c r="AD46" s="121"/>
      <c r="AE46" s="130"/>
      <c r="AF46" s="125"/>
    </row>
    <row r="47" spans="1:32" ht="15">
      <c r="A47" s="54" t="s">
        <v>174</v>
      </c>
      <c r="B47" s="54"/>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row>
    <row r="48" spans="1:32" ht="12.75">
      <c r="A48" s="16" t="s">
        <v>175</v>
      </c>
      <c r="B48" s="16" t="s">
        <v>159</v>
      </c>
      <c r="C48" s="17"/>
      <c r="D48" s="18">
        <v>0.2</v>
      </c>
      <c r="E48" s="46">
        <v>0.09</v>
      </c>
      <c r="F48" s="17" t="s">
        <v>169</v>
      </c>
      <c r="G48" s="17" t="s">
        <v>129</v>
      </c>
      <c r="H48" s="18">
        <v>0</v>
      </c>
      <c r="I48" s="17"/>
      <c r="J48" s="18">
        <v>0</v>
      </c>
      <c r="K48" s="37">
        <v>0</v>
      </c>
      <c r="L48" s="18">
        <f aca="true" t="shared" si="19" ref="L48:L54">SUM(D48)</f>
        <v>0.2</v>
      </c>
      <c r="M48" s="47">
        <f aca="true" t="shared" si="20" ref="M48:M54">SUM(E48-K48)</f>
        <v>0.09</v>
      </c>
      <c r="N48" s="17"/>
      <c r="O48" s="131">
        <v>151</v>
      </c>
      <c r="P48" s="18">
        <f aca="true" t="shared" si="21" ref="P48:P54">SUM(O48*84)*(1.25)/1000000</f>
        <v>0.015855</v>
      </c>
      <c r="Q48" s="18">
        <f aca="true" t="shared" si="22" ref="Q48:Q54">SUM(O48*84)/1000000</f>
        <v>0.012684</v>
      </c>
      <c r="R48" s="18">
        <f aca="true" t="shared" si="23" ref="R48:R54">SUM(E48*0.06)</f>
        <v>0.005399999999999999</v>
      </c>
      <c r="S48" s="18"/>
      <c r="T48" s="18">
        <f aca="true" t="shared" si="24" ref="T48:T54">SUM(D48+P48)-(R48+S48)</f>
        <v>0.21045500000000003</v>
      </c>
      <c r="U48" s="46">
        <f aca="true" t="shared" si="25" ref="U48:U54">SUM(E48+Q48)-(R48+S48)</f>
        <v>0.097284</v>
      </c>
      <c r="V48" s="50" t="s">
        <v>131</v>
      </c>
      <c r="W48" s="50" t="s">
        <v>144</v>
      </c>
      <c r="X48" s="50">
        <f>SUM(U48)</f>
        <v>0.097284</v>
      </c>
      <c r="Y48" s="50"/>
      <c r="Z48" s="18"/>
      <c r="AA48" s="18">
        <f aca="true" t="shared" si="26" ref="AA48:AA54">K48+Z48</f>
        <v>0</v>
      </c>
      <c r="AB48" s="18">
        <f aca="true" t="shared" si="27" ref="AB48:AB54">SUM(U48)</f>
        <v>0.097284</v>
      </c>
      <c r="AC48" s="37">
        <f>SUM(U48*0.7)</f>
        <v>0.06809879999999999</v>
      </c>
      <c r="AD48" s="62">
        <f aca="true" t="shared" si="28" ref="AD48:AD54">SUM(AC48-K48)</f>
        <v>0.06809879999999999</v>
      </c>
      <c r="AE48" s="58">
        <f>SUM(AD48*0.7)</f>
        <v>0.04766915999999999</v>
      </c>
      <c r="AF48" s="17" t="s">
        <v>162</v>
      </c>
    </row>
    <row r="49" spans="1:32" ht="12.75">
      <c r="A49" s="16" t="s">
        <v>176</v>
      </c>
      <c r="B49" s="16" t="s">
        <v>159</v>
      </c>
      <c r="C49" s="17"/>
      <c r="D49" s="18">
        <v>0.5</v>
      </c>
      <c r="E49" s="46">
        <v>0.21</v>
      </c>
      <c r="F49" s="17" t="s">
        <v>169</v>
      </c>
      <c r="G49" s="17" t="s">
        <v>129</v>
      </c>
      <c r="H49" s="18">
        <v>0</v>
      </c>
      <c r="I49" s="17"/>
      <c r="J49" s="18">
        <v>0</v>
      </c>
      <c r="K49" s="37">
        <v>0</v>
      </c>
      <c r="L49" s="18">
        <f t="shared" si="19"/>
        <v>0.5</v>
      </c>
      <c r="M49" s="47">
        <f t="shared" si="20"/>
        <v>0.21</v>
      </c>
      <c r="N49" s="17"/>
      <c r="O49" s="131">
        <v>4787</v>
      </c>
      <c r="P49" s="18">
        <f t="shared" si="21"/>
        <v>0.502635</v>
      </c>
      <c r="Q49" s="18">
        <f t="shared" si="22"/>
        <v>0.402108</v>
      </c>
      <c r="R49" s="18">
        <f t="shared" si="23"/>
        <v>0.012599999999999998</v>
      </c>
      <c r="S49" s="18">
        <v>0</v>
      </c>
      <c r="T49" s="18">
        <f t="shared" si="24"/>
        <v>0.9900350000000002</v>
      </c>
      <c r="U49" s="46">
        <f t="shared" si="25"/>
        <v>0.599508</v>
      </c>
      <c r="V49" s="50" t="s">
        <v>131</v>
      </c>
      <c r="W49" s="50" t="s">
        <v>144</v>
      </c>
      <c r="X49" s="50">
        <f aca="true" t="shared" si="29" ref="X49:X54">SUM(U49)</f>
        <v>0.599508</v>
      </c>
      <c r="Y49" s="50"/>
      <c r="Z49" s="18">
        <v>0.25</v>
      </c>
      <c r="AA49" s="18">
        <f t="shared" si="26"/>
        <v>0.25</v>
      </c>
      <c r="AB49" s="18">
        <f t="shared" si="27"/>
        <v>0.599508</v>
      </c>
      <c r="AC49" s="37">
        <f>SUM(U49*0.7)</f>
        <v>0.4196556</v>
      </c>
      <c r="AD49" s="62">
        <f t="shared" si="28"/>
        <v>0.4196556</v>
      </c>
      <c r="AE49" s="58">
        <f>SUM(AD49*0.7)</f>
        <v>0.29375892</v>
      </c>
      <c r="AF49" s="17" t="s">
        <v>366</v>
      </c>
    </row>
    <row r="50" spans="1:32" ht="12.75">
      <c r="A50" s="16" t="s">
        <v>177</v>
      </c>
      <c r="B50" s="16" t="s">
        <v>159</v>
      </c>
      <c r="C50" s="17"/>
      <c r="D50" s="18">
        <v>3</v>
      </c>
      <c r="E50" s="46">
        <v>1.56</v>
      </c>
      <c r="F50" s="17" t="s">
        <v>128</v>
      </c>
      <c r="G50" s="17" t="s">
        <v>127</v>
      </c>
      <c r="H50" s="18">
        <v>0</v>
      </c>
      <c r="I50" s="17"/>
      <c r="J50" s="18">
        <v>3</v>
      </c>
      <c r="K50" s="37">
        <v>1.49</v>
      </c>
      <c r="L50" s="18">
        <f t="shared" si="19"/>
        <v>3</v>
      </c>
      <c r="M50" s="47">
        <f t="shared" si="20"/>
        <v>0.07000000000000006</v>
      </c>
      <c r="N50" s="17" t="s">
        <v>110</v>
      </c>
      <c r="O50" s="131">
        <v>1391</v>
      </c>
      <c r="P50" s="18">
        <f t="shared" si="21"/>
        <v>0.146055</v>
      </c>
      <c r="Q50" s="18">
        <f t="shared" si="22"/>
        <v>0.116844</v>
      </c>
      <c r="R50" s="18">
        <f t="shared" si="23"/>
        <v>0.0936</v>
      </c>
      <c r="S50" s="18">
        <v>0</v>
      </c>
      <c r="T50" s="18">
        <f t="shared" si="24"/>
        <v>3.052455</v>
      </c>
      <c r="U50" s="46">
        <f t="shared" si="25"/>
        <v>1.583244</v>
      </c>
      <c r="V50" s="50" t="s">
        <v>131</v>
      </c>
      <c r="W50" s="50" t="s">
        <v>144</v>
      </c>
      <c r="X50" s="50">
        <f t="shared" si="29"/>
        <v>1.583244</v>
      </c>
      <c r="Y50" s="50"/>
      <c r="Z50" s="18"/>
      <c r="AA50" s="18">
        <f t="shared" si="26"/>
        <v>1.49</v>
      </c>
      <c r="AB50" s="18">
        <f t="shared" si="27"/>
        <v>1.583244</v>
      </c>
      <c r="AC50" s="37">
        <f>SUM(U50*1)</f>
        <v>1.583244</v>
      </c>
      <c r="AD50" s="62">
        <f t="shared" si="28"/>
        <v>0.0932440000000001</v>
      </c>
      <c r="AE50" s="58">
        <f aca="true" t="shared" si="30" ref="AE50:AE57">SUM(AD50*0.7)</f>
        <v>0.06527080000000007</v>
      </c>
      <c r="AF50" s="17" t="s">
        <v>162</v>
      </c>
    </row>
    <row r="51" spans="1:32" ht="25.5">
      <c r="A51" s="16" t="s">
        <v>327</v>
      </c>
      <c r="B51" s="16" t="s">
        <v>159</v>
      </c>
      <c r="C51" s="17"/>
      <c r="D51" s="18">
        <v>1.6</v>
      </c>
      <c r="E51" s="46">
        <v>0</v>
      </c>
      <c r="F51" s="17" t="s">
        <v>128</v>
      </c>
      <c r="G51" s="17" t="s">
        <v>127</v>
      </c>
      <c r="H51" s="18">
        <v>0</v>
      </c>
      <c r="I51" s="17"/>
      <c r="J51" s="18">
        <v>0</v>
      </c>
      <c r="K51" s="37">
        <v>0</v>
      </c>
      <c r="L51" s="18">
        <v>1.6</v>
      </c>
      <c r="M51" s="47">
        <v>0</v>
      </c>
      <c r="N51" s="17"/>
      <c r="O51" s="131">
        <v>12021</v>
      </c>
      <c r="P51" s="18">
        <f>SUM(O51*84)*(1.25)/1000000</f>
        <v>1.262205</v>
      </c>
      <c r="Q51" s="18">
        <f>SUM(O51*84)/1000000</f>
        <v>1.009764</v>
      </c>
      <c r="R51" s="18">
        <f t="shared" si="23"/>
        <v>0</v>
      </c>
      <c r="S51" s="18">
        <v>0</v>
      </c>
      <c r="T51" s="18">
        <f t="shared" si="24"/>
        <v>2.8622050000000003</v>
      </c>
      <c r="U51" s="46">
        <f t="shared" si="25"/>
        <v>1.009764</v>
      </c>
      <c r="V51" s="50" t="s">
        <v>131</v>
      </c>
      <c r="W51" s="50" t="s">
        <v>144</v>
      </c>
      <c r="X51" s="50">
        <f t="shared" si="29"/>
        <v>1.009764</v>
      </c>
      <c r="Y51" s="50"/>
      <c r="Z51" s="18"/>
      <c r="AA51" s="18">
        <f t="shared" si="26"/>
        <v>0</v>
      </c>
      <c r="AB51" s="18">
        <f>SUM(U51)</f>
        <v>1.009764</v>
      </c>
      <c r="AC51" s="37">
        <f>SUM(U51*0.7)</f>
        <v>0.7068348</v>
      </c>
      <c r="AD51" s="62">
        <f t="shared" si="28"/>
        <v>0.7068348</v>
      </c>
      <c r="AE51" s="58">
        <f t="shared" si="30"/>
        <v>0.49478436</v>
      </c>
      <c r="AF51" s="17">
        <v>1</v>
      </c>
    </row>
    <row r="52" spans="1:32" ht="12.75">
      <c r="A52" s="16" t="s">
        <v>178</v>
      </c>
      <c r="B52" s="16" t="s">
        <v>159</v>
      </c>
      <c r="C52" s="17"/>
      <c r="D52" s="18">
        <v>2.8</v>
      </c>
      <c r="E52" s="46">
        <v>1.28</v>
      </c>
      <c r="F52" s="17" t="s">
        <v>128</v>
      </c>
      <c r="G52" s="17" t="s">
        <v>127</v>
      </c>
      <c r="H52" s="18">
        <v>0</v>
      </c>
      <c r="I52" s="17"/>
      <c r="J52" s="18">
        <v>2.31</v>
      </c>
      <c r="K52" s="37">
        <v>1.04</v>
      </c>
      <c r="L52" s="18">
        <f t="shared" si="19"/>
        <v>2.8</v>
      </c>
      <c r="M52" s="47">
        <f t="shared" si="20"/>
        <v>0.24</v>
      </c>
      <c r="N52" s="17" t="s">
        <v>108</v>
      </c>
      <c r="O52" s="131">
        <v>7258</v>
      </c>
      <c r="P52" s="18">
        <f t="shared" si="21"/>
        <v>0.76209</v>
      </c>
      <c r="Q52" s="18">
        <f t="shared" si="22"/>
        <v>0.609672</v>
      </c>
      <c r="R52" s="18">
        <f t="shared" si="23"/>
        <v>0.0768</v>
      </c>
      <c r="S52" s="18">
        <v>0</v>
      </c>
      <c r="T52" s="18">
        <f t="shared" si="24"/>
        <v>3.48529</v>
      </c>
      <c r="U52" s="46">
        <f t="shared" si="25"/>
        <v>1.812872</v>
      </c>
      <c r="V52" s="50" t="s">
        <v>131</v>
      </c>
      <c r="W52" s="50" t="s">
        <v>144</v>
      </c>
      <c r="X52" s="50">
        <f t="shared" si="29"/>
        <v>1.812872</v>
      </c>
      <c r="Y52" s="50"/>
      <c r="Z52" s="18"/>
      <c r="AA52" s="18">
        <f t="shared" si="26"/>
        <v>1.04</v>
      </c>
      <c r="AB52" s="18">
        <f t="shared" si="27"/>
        <v>1.812872</v>
      </c>
      <c r="AC52" s="37">
        <f>SUM(U52*0.7)</f>
        <v>1.2690104</v>
      </c>
      <c r="AD52" s="62">
        <f t="shared" si="28"/>
        <v>0.22901039999999995</v>
      </c>
      <c r="AE52" s="58">
        <f t="shared" si="30"/>
        <v>0.16030727999999994</v>
      </c>
      <c r="AF52" s="17" t="s">
        <v>162</v>
      </c>
    </row>
    <row r="53" spans="1:32" ht="12.75">
      <c r="A53" s="16" t="s">
        <v>179</v>
      </c>
      <c r="B53" s="16" t="s">
        <v>159</v>
      </c>
      <c r="C53" s="17"/>
      <c r="D53" s="18">
        <v>0.35</v>
      </c>
      <c r="E53" s="46">
        <v>0.27</v>
      </c>
      <c r="F53" s="17" t="s">
        <v>128</v>
      </c>
      <c r="G53" s="17" t="s">
        <v>127</v>
      </c>
      <c r="H53" s="18">
        <v>0</v>
      </c>
      <c r="I53" s="17"/>
      <c r="J53" s="18">
        <v>0.35</v>
      </c>
      <c r="K53" s="37">
        <v>0.23</v>
      </c>
      <c r="L53" s="18">
        <f t="shared" si="19"/>
        <v>0.35</v>
      </c>
      <c r="M53" s="47">
        <f t="shared" si="20"/>
        <v>0.04000000000000001</v>
      </c>
      <c r="N53" s="17" t="s">
        <v>122</v>
      </c>
      <c r="O53" s="131">
        <v>0</v>
      </c>
      <c r="P53" s="18">
        <f t="shared" si="21"/>
        <v>0</v>
      </c>
      <c r="Q53" s="18">
        <f t="shared" si="22"/>
        <v>0</v>
      </c>
      <c r="R53" s="18">
        <f t="shared" si="23"/>
        <v>0.0162</v>
      </c>
      <c r="S53" s="18"/>
      <c r="T53" s="18">
        <f t="shared" si="24"/>
        <v>0.3338</v>
      </c>
      <c r="U53" s="46">
        <f t="shared" si="25"/>
        <v>0.2538</v>
      </c>
      <c r="V53" s="50" t="s">
        <v>131</v>
      </c>
      <c r="W53" s="50" t="s">
        <v>144</v>
      </c>
      <c r="X53" s="50">
        <f t="shared" si="29"/>
        <v>0.2538</v>
      </c>
      <c r="Y53" s="50"/>
      <c r="Z53" s="18"/>
      <c r="AA53" s="18">
        <f t="shared" si="26"/>
        <v>0.23</v>
      </c>
      <c r="AB53" s="18">
        <f t="shared" si="27"/>
        <v>0.2538</v>
      </c>
      <c r="AC53" s="37">
        <f>SUM(U53*1)</f>
        <v>0.2538</v>
      </c>
      <c r="AD53" s="62">
        <f t="shared" si="28"/>
        <v>0.023800000000000016</v>
      </c>
      <c r="AE53" s="58">
        <f t="shared" si="30"/>
        <v>0.016660000000000008</v>
      </c>
      <c r="AF53" s="17" t="s">
        <v>162</v>
      </c>
    </row>
    <row r="54" spans="1:32" ht="12.75">
      <c r="A54" s="16" t="s">
        <v>180</v>
      </c>
      <c r="B54" s="16" t="s">
        <v>159</v>
      </c>
      <c r="C54" s="17"/>
      <c r="D54" s="18">
        <v>2.25</v>
      </c>
      <c r="E54" s="46">
        <v>1.5</v>
      </c>
      <c r="F54" s="17" t="s">
        <v>128</v>
      </c>
      <c r="G54" s="17" t="s">
        <v>127</v>
      </c>
      <c r="H54" s="18">
        <v>0</v>
      </c>
      <c r="I54" s="17"/>
      <c r="J54" s="18">
        <v>2</v>
      </c>
      <c r="K54" s="37">
        <v>1.5</v>
      </c>
      <c r="L54" s="18">
        <f t="shared" si="19"/>
        <v>2.25</v>
      </c>
      <c r="M54" s="47">
        <f t="shared" si="20"/>
        <v>0</v>
      </c>
      <c r="N54" s="17" t="s">
        <v>108</v>
      </c>
      <c r="O54" s="131">
        <v>31112</v>
      </c>
      <c r="P54" s="18">
        <f t="shared" si="21"/>
        <v>3.26676</v>
      </c>
      <c r="Q54" s="18">
        <f t="shared" si="22"/>
        <v>2.613408</v>
      </c>
      <c r="R54" s="18">
        <f t="shared" si="23"/>
        <v>0.09</v>
      </c>
      <c r="S54" s="18"/>
      <c r="T54" s="18">
        <f t="shared" si="24"/>
        <v>5.42676</v>
      </c>
      <c r="U54" s="46">
        <f t="shared" si="25"/>
        <v>4.023408</v>
      </c>
      <c r="V54" s="50" t="s">
        <v>131</v>
      </c>
      <c r="W54" s="50" t="s">
        <v>144</v>
      </c>
      <c r="X54" s="50">
        <f t="shared" si="29"/>
        <v>4.023408</v>
      </c>
      <c r="Y54" s="50"/>
      <c r="Z54" s="18">
        <v>1.2</v>
      </c>
      <c r="AA54" s="18">
        <f t="shared" si="26"/>
        <v>2.7</v>
      </c>
      <c r="AB54" s="18">
        <f t="shared" si="27"/>
        <v>4.023408</v>
      </c>
      <c r="AC54" s="37">
        <f>SUM(U54*0.7)</f>
        <v>2.8163856</v>
      </c>
      <c r="AD54" s="62">
        <f t="shared" si="28"/>
        <v>1.3163855999999998</v>
      </c>
      <c r="AE54" s="58">
        <f t="shared" si="30"/>
        <v>0.9214699199999998</v>
      </c>
      <c r="AF54" s="17" t="s">
        <v>266</v>
      </c>
    </row>
    <row r="55" spans="1:32" ht="15">
      <c r="A55" s="14" t="s">
        <v>183</v>
      </c>
      <c r="B55" s="14"/>
      <c r="C55" s="15"/>
      <c r="D55" s="51"/>
      <c r="E55" s="51"/>
      <c r="F55" s="15"/>
      <c r="G55" s="15"/>
      <c r="H55" s="51"/>
      <c r="I55" s="15"/>
      <c r="J55" s="51"/>
      <c r="K55" s="51"/>
      <c r="L55" s="51"/>
      <c r="M55" s="52"/>
      <c r="N55" s="15"/>
      <c r="O55" s="67"/>
      <c r="P55" s="15"/>
      <c r="Q55" s="15"/>
      <c r="R55" s="15"/>
      <c r="S55" s="15"/>
      <c r="T55" s="15"/>
      <c r="U55" s="53"/>
      <c r="V55" s="53"/>
      <c r="W55" s="53"/>
      <c r="X55" s="53"/>
      <c r="Y55" s="53"/>
      <c r="Z55" s="15"/>
      <c r="AA55" s="52"/>
      <c r="AB55" s="15"/>
      <c r="AC55" s="15"/>
      <c r="AD55" s="15"/>
      <c r="AE55" s="15"/>
      <c r="AF55" s="15"/>
    </row>
    <row r="56" spans="1:32" ht="15">
      <c r="A56" s="16" t="s">
        <v>13</v>
      </c>
      <c r="B56" s="16"/>
      <c r="C56" s="17">
        <v>0</v>
      </c>
      <c r="D56" s="18">
        <v>0</v>
      </c>
      <c r="E56" s="46">
        <v>0</v>
      </c>
      <c r="F56" s="17"/>
      <c r="G56" s="17"/>
      <c r="H56" s="18">
        <v>0</v>
      </c>
      <c r="I56" s="17"/>
      <c r="J56" s="18">
        <v>0</v>
      </c>
      <c r="K56" s="37">
        <v>0</v>
      </c>
      <c r="L56" s="18">
        <v>0</v>
      </c>
      <c r="M56" s="47">
        <f>SUM(E56-K56)</f>
        <v>0</v>
      </c>
      <c r="N56" s="17"/>
      <c r="O56" s="131">
        <v>0</v>
      </c>
      <c r="P56" s="18">
        <v>0</v>
      </c>
      <c r="Q56" s="18">
        <v>0</v>
      </c>
      <c r="R56" s="18">
        <v>0</v>
      </c>
      <c r="S56" s="18">
        <v>0</v>
      </c>
      <c r="T56" s="18">
        <v>0</v>
      </c>
      <c r="U56" s="46">
        <v>0</v>
      </c>
      <c r="V56" s="43"/>
      <c r="W56" s="43"/>
      <c r="X56" s="18">
        <v>0</v>
      </c>
      <c r="Y56" s="43"/>
      <c r="Z56" s="18">
        <v>0</v>
      </c>
      <c r="AA56" s="18">
        <v>0</v>
      </c>
      <c r="AB56" s="18">
        <v>0</v>
      </c>
      <c r="AC56" s="37">
        <v>0</v>
      </c>
      <c r="AD56" s="62">
        <v>0</v>
      </c>
      <c r="AE56" s="58">
        <f t="shared" si="30"/>
        <v>0</v>
      </c>
      <c r="AF56" s="20"/>
    </row>
    <row r="57" spans="1:32" ht="15.75" thickBot="1">
      <c r="A57" s="22" t="s">
        <v>14</v>
      </c>
      <c r="B57" s="22"/>
      <c r="C57" s="23">
        <v>7</v>
      </c>
      <c r="D57" s="24">
        <f>SUM(D48:D54)</f>
        <v>10.700000000000001</v>
      </c>
      <c r="E57" s="132">
        <f>SUM(E48:E54)</f>
        <v>4.91</v>
      </c>
      <c r="F57" s="23"/>
      <c r="G57" s="23"/>
      <c r="H57" s="24">
        <f>SUM(H48:H54)</f>
        <v>0</v>
      </c>
      <c r="I57" s="23"/>
      <c r="J57" s="24">
        <f>SUM(J48:J54)</f>
        <v>7.66</v>
      </c>
      <c r="K57" s="133">
        <f>SUM(K48:K54)</f>
        <v>4.26</v>
      </c>
      <c r="L57" s="24">
        <f>SUM(L48:L54)</f>
        <v>10.700000000000001</v>
      </c>
      <c r="M57" s="47">
        <f>SUM(M48:M54)</f>
        <v>0.6500000000000001</v>
      </c>
      <c r="N57" s="23"/>
      <c r="O57" s="69">
        <f aca="true" t="shared" si="31" ref="O57:U57">SUM(O48:O54)</f>
        <v>56720</v>
      </c>
      <c r="P57" s="24">
        <f t="shared" si="31"/>
        <v>5.9556000000000004</v>
      </c>
      <c r="Q57" s="24">
        <f t="shared" si="31"/>
        <v>4.764480000000001</v>
      </c>
      <c r="R57" s="24">
        <f t="shared" si="31"/>
        <v>0.2946</v>
      </c>
      <c r="S57" s="24">
        <f t="shared" si="31"/>
        <v>0</v>
      </c>
      <c r="T57" s="24">
        <f t="shared" si="31"/>
        <v>16.361</v>
      </c>
      <c r="U57" s="132">
        <f t="shared" si="31"/>
        <v>9.37988</v>
      </c>
      <c r="V57" s="45"/>
      <c r="W57" s="45"/>
      <c r="X57" s="24">
        <f>SUM(X48:X54)</f>
        <v>9.37988</v>
      </c>
      <c r="Y57" s="45"/>
      <c r="Z57" s="24">
        <f>SUM(Z48:Z54)</f>
        <v>1.45</v>
      </c>
      <c r="AA57" s="24">
        <f>SUM(AA48:AA54)</f>
        <v>5.710000000000001</v>
      </c>
      <c r="AB57" s="24">
        <f>SUM(AB48:AB54)</f>
        <v>9.37988</v>
      </c>
      <c r="AC57" s="133">
        <f>SUM(AC48:AC54)</f>
        <v>7.117029199999999</v>
      </c>
      <c r="AD57" s="117">
        <f>SUM(AD48:AD54)</f>
        <v>2.8570292</v>
      </c>
      <c r="AE57" s="58">
        <f t="shared" si="30"/>
        <v>1.99992044</v>
      </c>
      <c r="AF57" s="25"/>
    </row>
    <row r="58" spans="1:32" ht="13.5" thickBot="1">
      <c r="A58" s="26" t="s">
        <v>15</v>
      </c>
      <c r="B58" s="65"/>
      <c r="C58" s="27">
        <f>SUM(C56,C57)</f>
        <v>7</v>
      </c>
      <c r="D58" s="33">
        <f>SUM(D56:D57)</f>
        <v>10.700000000000001</v>
      </c>
      <c r="E58" s="134">
        <f>SUM(E56:E57)</f>
        <v>4.91</v>
      </c>
      <c r="F58" s="27"/>
      <c r="G58" s="27"/>
      <c r="H58" s="33">
        <f>SUM(H56:H57)</f>
        <v>0</v>
      </c>
      <c r="I58" s="135">
        <f>(H58/E58)</f>
        <v>0</v>
      </c>
      <c r="J58" s="33">
        <f>SUM(J56:J57)</f>
        <v>7.66</v>
      </c>
      <c r="K58" s="136">
        <f>SUM(K56:K57)</f>
        <v>4.26</v>
      </c>
      <c r="L58" s="33">
        <f>SUM(L56:L57)</f>
        <v>10.700000000000001</v>
      </c>
      <c r="M58" s="48">
        <f>SUM(M56:M57)</f>
        <v>0.6500000000000001</v>
      </c>
      <c r="N58" s="27"/>
      <c r="O58" s="138">
        <f aca="true" t="shared" si="32" ref="O58:U58">SUM(O56:O57)</f>
        <v>56720</v>
      </c>
      <c r="P58" s="33">
        <f t="shared" si="32"/>
        <v>5.9556000000000004</v>
      </c>
      <c r="Q58" s="33">
        <f t="shared" si="32"/>
        <v>4.764480000000001</v>
      </c>
      <c r="R58" s="33">
        <f t="shared" si="32"/>
        <v>0.2946</v>
      </c>
      <c r="S58" s="33">
        <f t="shared" si="32"/>
        <v>0</v>
      </c>
      <c r="T58" s="33">
        <f t="shared" si="32"/>
        <v>16.361</v>
      </c>
      <c r="U58" s="134">
        <f t="shared" si="32"/>
        <v>9.37988</v>
      </c>
      <c r="V58" s="33"/>
      <c r="W58" s="33"/>
      <c r="X58" s="33">
        <f>SUM(X56:X57)</f>
        <v>9.37988</v>
      </c>
      <c r="Y58" s="135">
        <f>SUM(X58/U58)</f>
        <v>1</v>
      </c>
      <c r="Z58" s="33">
        <f aca="true" t="shared" si="33" ref="Z58:AE58">SUM(Z56:Z57)</f>
        <v>1.45</v>
      </c>
      <c r="AA58" s="33">
        <f t="shared" si="33"/>
        <v>5.710000000000001</v>
      </c>
      <c r="AB58" s="33">
        <f t="shared" si="33"/>
        <v>9.37988</v>
      </c>
      <c r="AC58" s="136">
        <f t="shared" si="33"/>
        <v>7.117029199999999</v>
      </c>
      <c r="AD58" s="118">
        <f t="shared" si="33"/>
        <v>2.8570292</v>
      </c>
      <c r="AE58" s="60">
        <f t="shared" si="33"/>
        <v>1.99992044</v>
      </c>
      <c r="AF58" s="34"/>
    </row>
    <row r="59" spans="1:32" ht="14.25">
      <c r="A59" s="77" t="s">
        <v>182</v>
      </c>
      <c r="B59" s="77"/>
      <c r="C59" s="76"/>
      <c r="D59" s="75"/>
      <c r="E59" s="75"/>
      <c r="F59" s="76"/>
      <c r="G59" s="76"/>
      <c r="H59" s="76"/>
      <c r="I59" s="76"/>
      <c r="J59" s="75"/>
      <c r="K59" s="76"/>
      <c r="L59" s="75"/>
      <c r="M59" s="76"/>
      <c r="N59" s="76"/>
      <c r="O59" s="73">
        <v>109642</v>
      </c>
      <c r="P59" s="75"/>
      <c r="Q59" s="75"/>
      <c r="R59" s="75"/>
      <c r="S59" s="75"/>
      <c r="T59" s="75"/>
      <c r="U59" s="75"/>
      <c r="V59" s="75"/>
      <c r="W59" s="75"/>
      <c r="X59" s="75"/>
      <c r="Y59" s="75"/>
      <c r="Z59" s="75"/>
      <c r="AA59" s="75"/>
      <c r="AB59" s="75"/>
      <c r="AC59" s="75"/>
      <c r="AD59" s="75"/>
      <c r="AE59" s="75"/>
      <c r="AF59" s="5" t="s">
        <v>265</v>
      </c>
    </row>
    <row r="60" spans="1:32" ht="12.75">
      <c r="A60" s="77" t="s">
        <v>173</v>
      </c>
      <c r="B60" s="77"/>
      <c r="C60" s="76"/>
      <c r="D60" s="75"/>
      <c r="E60" s="75"/>
      <c r="F60" s="76"/>
      <c r="G60" s="76"/>
      <c r="H60" s="76"/>
      <c r="I60" s="76"/>
      <c r="J60" s="75"/>
      <c r="K60" s="76"/>
      <c r="L60" s="75"/>
      <c r="M60" s="76"/>
      <c r="N60" s="76"/>
      <c r="O60" s="74">
        <f>SUM(O58/O59)</f>
        <v>0.5173200051075317</v>
      </c>
      <c r="P60" s="75"/>
      <c r="Q60" s="75"/>
      <c r="R60" s="75"/>
      <c r="S60" s="75"/>
      <c r="T60" s="75"/>
      <c r="U60" s="75"/>
      <c r="V60" s="75"/>
      <c r="W60" s="75"/>
      <c r="X60" s="75"/>
      <c r="Y60" s="75"/>
      <c r="Z60" s="75"/>
      <c r="AA60" s="75"/>
      <c r="AB60" s="75"/>
      <c r="AC60" s="75"/>
      <c r="AD60" s="75"/>
      <c r="AE60" s="75"/>
      <c r="AF60" s="5"/>
    </row>
    <row r="61" spans="1:32" ht="12.75">
      <c r="A61" s="77"/>
      <c r="B61" s="77"/>
      <c r="C61" s="76"/>
      <c r="D61" s="75"/>
      <c r="E61" s="75"/>
      <c r="F61" s="76"/>
      <c r="G61" s="76"/>
      <c r="H61" s="76"/>
      <c r="I61" s="76"/>
      <c r="J61" s="75"/>
      <c r="K61" s="76"/>
      <c r="L61" s="75"/>
      <c r="M61" s="76"/>
      <c r="N61" s="76"/>
      <c r="O61" s="74"/>
      <c r="P61" s="75"/>
      <c r="Q61" s="75"/>
      <c r="R61" s="75"/>
      <c r="S61" s="75"/>
      <c r="T61" s="75"/>
      <c r="U61" s="75"/>
      <c r="V61" s="75"/>
      <c r="W61" s="75"/>
      <c r="X61" s="75"/>
      <c r="Y61" s="75"/>
      <c r="Z61" s="75"/>
      <c r="AA61" s="75"/>
      <c r="AB61" s="75"/>
      <c r="AC61" s="75"/>
      <c r="AD61" s="75"/>
      <c r="AE61" s="75"/>
      <c r="AF61" s="5"/>
    </row>
    <row r="62" spans="1:32" ht="27.75" customHeight="1">
      <c r="A62" s="206"/>
      <c r="B62" s="64"/>
      <c r="C62" s="10"/>
      <c r="D62" s="198" t="s">
        <v>285</v>
      </c>
      <c r="E62" s="198"/>
      <c r="F62" s="199" t="s">
        <v>286</v>
      </c>
      <c r="G62" s="199"/>
      <c r="H62" s="113" t="s">
        <v>131</v>
      </c>
      <c r="I62" s="109">
        <v>2010</v>
      </c>
      <c r="J62" s="208" t="s">
        <v>287</v>
      </c>
      <c r="K62" s="208"/>
      <c r="L62" s="209" t="s">
        <v>288</v>
      </c>
      <c r="M62" s="209"/>
      <c r="N62" s="10">
        <v>2010</v>
      </c>
      <c r="O62" s="68" t="s">
        <v>289</v>
      </c>
      <c r="P62" s="199" t="s">
        <v>290</v>
      </c>
      <c r="Q62" s="199"/>
      <c r="R62" s="199" t="s">
        <v>291</v>
      </c>
      <c r="S62" s="199"/>
      <c r="T62" s="198" t="s">
        <v>292</v>
      </c>
      <c r="U62" s="198"/>
      <c r="V62" s="199" t="s">
        <v>293</v>
      </c>
      <c r="W62" s="199"/>
      <c r="X62" s="114" t="s">
        <v>298</v>
      </c>
      <c r="Y62" s="114" t="s">
        <v>299</v>
      </c>
      <c r="Z62" s="200" t="s">
        <v>294</v>
      </c>
      <c r="AA62" s="40">
        <v>2020</v>
      </c>
      <c r="AB62" s="207" t="s">
        <v>295</v>
      </c>
      <c r="AC62" s="208"/>
      <c r="AD62" s="61" t="s">
        <v>296</v>
      </c>
      <c r="AE62" s="57" t="s">
        <v>296</v>
      </c>
      <c r="AF62" s="10"/>
    </row>
    <row r="63" spans="1:32" ht="12.75">
      <c r="A63" s="206"/>
      <c r="B63" s="66" t="s">
        <v>153</v>
      </c>
      <c r="C63" s="10" t="s">
        <v>0</v>
      </c>
      <c r="D63" s="198"/>
      <c r="E63" s="198"/>
      <c r="F63" s="199"/>
      <c r="G63" s="199"/>
      <c r="H63" s="113"/>
      <c r="I63" s="109" t="s">
        <v>131</v>
      </c>
      <c r="J63" s="208"/>
      <c r="K63" s="208"/>
      <c r="L63" s="209"/>
      <c r="M63" s="209"/>
      <c r="N63" s="10" t="s">
        <v>2</v>
      </c>
      <c r="O63" s="68" t="s">
        <v>161</v>
      </c>
      <c r="P63" s="199"/>
      <c r="Q63" s="199"/>
      <c r="R63" s="199"/>
      <c r="S63" s="199"/>
      <c r="T63" s="198"/>
      <c r="U63" s="198"/>
      <c r="V63" s="199"/>
      <c r="W63" s="199"/>
      <c r="X63" s="114" t="s">
        <v>131</v>
      </c>
      <c r="Y63" s="114"/>
      <c r="Z63" s="201"/>
      <c r="AA63" s="41" t="s">
        <v>145</v>
      </c>
      <c r="AB63" s="207"/>
      <c r="AC63" s="208"/>
      <c r="AD63" s="61" t="s">
        <v>145</v>
      </c>
      <c r="AE63" s="57" t="s">
        <v>297</v>
      </c>
      <c r="AF63" s="10" t="s">
        <v>3</v>
      </c>
    </row>
    <row r="64" spans="1:32" ht="14.25">
      <c r="A64" s="206"/>
      <c r="B64" s="66" t="s">
        <v>151</v>
      </c>
      <c r="C64" s="10" t="s">
        <v>1</v>
      </c>
      <c r="D64" s="198"/>
      <c r="E64" s="198"/>
      <c r="F64" s="199"/>
      <c r="G64" s="199"/>
      <c r="H64" s="113"/>
      <c r="I64" s="109"/>
      <c r="J64" s="208"/>
      <c r="K64" s="208"/>
      <c r="L64" s="209"/>
      <c r="M64" s="209"/>
      <c r="N64" s="10" t="s">
        <v>97</v>
      </c>
      <c r="O64" s="68" t="s">
        <v>270</v>
      </c>
      <c r="P64" s="199"/>
      <c r="Q64" s="199"/>
      <c r="R64" s="199"/>
      <c r="S64" s="199"/>
      <c r="T64" s="198"/>
      <c r="U64" s="198"/>
      <c r="V64" s="199"/>
      <c r="W64" s="199"/>
      <c r="X64" s="109"/>
      <c r="Y64" s="109"/>
      <c r="Z64" s="202"/>
      <c r="AA64" s="39" t="s">
        <v>143</v>
      </c>
      <c r="AB64" s="208"/>
      <c r="AC64" s="208"/>
      <c r="AD64" s="61"/>
      <c r="AE64" s="57"/>
      <c r="AF64" s="125"/>
    </row>
    <row r="65" spans="1:32" ht="46.5">
      <c r="A65" s="78" t="s">
        <v>198</v>
      </c>
      <c r="B65" s="10" t="s">
        <v>154</v>
      </c>
      <c r="C65" s="10" t="s">
        <v>302</v>
      </c>
      <c r="D65" s="10" t="s">
        <v>5</v>
      </c>
      <c r="E65" s="11" t="s">
        <v>7</v>
      </c>
      <c r="F65" s="10" t="s">
        <v>95</v>
      </c>
      <c r="G65" s="10" t="s">
        <v>96</v>
      </c>
      <c r="H65" s="113" t="s">
        <v>7</v>
      </c>
      <c r="I65" s="109"/>
      <c r="J65" s="10" t="s">
        <v>5</v>
      </c>
      <c r="K65" s="12" t="s">
        <v>277</v>
      </c>
      <c r="L65" s="10" t="s">
        <v>5</v>
      </c>
      <c r="M65" s="42" t="s">
        <v>7</v>
      </c>
      <c r="N65" s="10"/>
      <c r="O65" s="68"/>
      <c r="P65" s="10" t="s">
        <v>5</v>
      </c>
      <c r="Q65" s="10" t="s">
        <v>7</v>
      </c>
      <c r="R65" s="10" t="s">
        <v>272</v>
      </c>
      <c r="S65" s="10" t="s">
        <v>273</v>
      </c>
      <c r="T65" s="10" t="s">
        <v>5</v>
      </c>
      <c r="U65" s="11" t="s">
        <v>7</v>
      </c>
      <c r="V65" s="10" t="s">
        <v>95</v>
      </c>
      <c r="W65" s="10" t="s">
        <v>96</v>
      </c>
      <c r="X65" s="109"/>
      <c r="Y65" s="109"/>
      <c r="Z65" s="10"/>
      <c r="AA65" s="10"/>
      <c r="AB65" s="10" t="s">
        <v>5</v>
      </c>
      <c r="AC65" s="12" t="s">
        <v>334</v>
      </c>
      <c r="AD65" s="61" t="s">
        <v>335</v>
      </c>
      <c r="AE65" s="57" t="s">
        <v>336</v>
      </c>
      <c r="AF65" s="125"/>
    </row>
    <row r="66" spans="1:32" ht="12.75">
      <c r="A66" s="10"/>
      <c r="B66" s="10"/>
      <c r="C66" s="125"/>
      <c r="D66" s="10" t="s">
        <v>6</v>
      </c>
      <c r="E66" s="11" t="s">
        <v>6</v>
      </c>
      <c r="F66" s="10"/>
      <c r="G66" s="10"/>
      <c r="H66" s="113" t="s">
        <v>6</v>
      </c>
      <c r="I66" s="109" t="s">
        <v>300</v>
      </c>
      <c r="J66" s="10" t="s">
        <v>6</v>
      </c>
      <c r="K66" s="12" t="s">
        <v>6</v>
      </c>
      <c r="L66" s="10" t="s">
        <v>6</v>
      </c>
      <c r="M66" s="42" t="s">
        <v>6</v>
      </c>
      <c r="N66" s="125"/>
      <c r="O66" s="126"/>
      <c r="P66" s="10" t="s">
        <v>6</v>
      </c>
      <c r="Q66" s="10" t="s">
        <v>6</v>
      </c>
      <c r="R66" s="10" t="s">
        <v>6</v>
      </c>
      <c r="S66" s="10" t="s">
        <v>6</v>
      </c>
      <c r="T66" s="10" t="s">
        <v>6</v>
      </c>
      <c r="U66" s="11" t="s">
        <v>6</v>
      </c>
      <c r="V66" s="10"/>
      <c r="W66" s="10"/>
      <c r="X66" s="109" t="s">
        <v>6</v>
      </c>
      <c r="Y66" s="109" t="s">
        <v>300</v>
      </c>
      <c r="Z66" s="10" t="s">
        <v>6</v>
      </c>
      <c r="AA66" s="10" t="s">
        <v>6</v>
      </c>
      <c r="AB66" s="10" t="s">
        <v>6</v>
      </c>
      <c r="AC66" s="12" t="s">
        <v>6</v>
      </c>
      <c r="AD66" s="61" t="s">
        <v>6</v>
      </c>
      <c r="AE66" s="57" t="s">
        <v>6</v>
      </c>
      <c r="AF66" s="125"/>
    </row>
    <row r="67" spans="1:32" ht="12.75">
      <c r="A67" s="10" t="s">
        <v>4</v>
      </c>
      <c r="B67" s="10"/>
      <c r="C67" s="125"/>
      <c r="D67" s="125"/>
      <c r="E67" s="127"/>
      <c r="F67" s="125"/>
      <c r="G67" s="125"/>
      <c r="H67" s="125"/>
      <c r="I67" s="125"/>
      <c r="J67" s="125"/>
      <c r="K67" s="128"/>
      <c r="L67" s="125"/>
      <c r="M67" s="129"/>
      <c r="N67" s="125"/>
      <c r="O67" s="126"/>
      <c r="P67" s="125"/>
      <c r="Q67" s="125"/>
      <c r="R67" s="125"/>
      <c r="S67" s="125"/>
      <c r="T67" s="125"/>
      <c r="U67" s="13"/>
      <c r="V67" s="44"/>
      <c r="W67" s="44"/>
      <c r="X67" s="44"/>
      <c r="Y67" s="44"/>
      <c r="Z67" s="125"/>
      <c r="AA67" s="125"/>
      <c r="AB67" s="125"/>
      <c r="AC67" s="128"/>
      <c r="AD67" s="121"/>
      <c r="AE67" s="130"/>
      <c r="AF67" s="125"/>
    </row>
    <row r="68" spans="1:32" ht="15">
      <c r="A68" s="54" t="s">
        <v>184</v>
      </c>
      <c r="B68" s="54"/>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row>
    <row r="69" spans="1:32" ht="12.75">
      <c r="A69" s="16" t="s">
        <v>279</v>
      </c>
      <c r="B69" s="16" t="s">
        <v>159</v>
      </c>
      <c r="C69" s="17"/>
      <c r="D69" s="18">
        <v>0.25</v>
      </c>
      <c r="E69" s="46">
        <v>0.15</v>
      </c>
      <c r="F69" s="17" t="s">
        <v>169</v>
      </c>
      <c r="G69" s="17" t="s">
        <v>129</v>
      </c>
      <c r="H69" s="18">
        <v>0</v>
      </c>
      <c r="I69" s="17"/>
      <c r="J69" s="18">
        <v>0</v>
      </c>
      <c r="K69" s="37">
        <v>0</v>
      </c>
      <c r="L69" s="18">
        <f aca="true" t="shared" si="34" ref="L69:L75">SUM(D69)</f>
        <v>0.25</v>
      </c>
      <c r="M69" s="47">
        <f aca="true" t="shared" si="35" ref="M69:M74">SUM(E69-K69)</f>
        <v>0.15</v>
      </c>
      <c r="N69" s="17"/>
      <c r="O69" s="131">
        <v>2192</v>
      </c>
      <c r="P69" s="18">
        <f aca="true" t="shared" si="36" ref="P69:P75">SUM(O69*84)*(1.25)/1000000</f>
        <v>0.23016</v>
      </c>
      <c r="Q69" s="18">
        <f aca="true" t="shared" si="37" ref="Q69:Q75">SUM(O69*84)/1000000</f>
        <v>0.184128</v>
      </c>
      <c r="R69" s="18">
        <f>SUM(E69*0.06)</f>
        <v>0.009</v>
      </c>
      <c r="S69" s="17"/>
      <c r="T69" s="18">
        <f aca="true" t="shared" si="38" ref="T69:T75">SUM(D69+P69)-(R69+S69)</f>
        <v>0.47116</v>
      </c>
      <c r="U69" s="46">
        <f aca="true" t="shared" si="39" ref="U69:U75">SUM(E69+Q69)-(R69+S69)</f>
        <v>0.325128</v>
      </c>
      <c r="V69" s="50" t="s">
        <v>131</v>
      </c>
      <c r="W69" s="50" t="s">
        <v>144</v>
      </c>
      <c r="X69" s="50">
        <f>SUM(U69)</f>
        <v>0.325128</v>
      </c>
      <c r="Y69" s="50"/>
      <c r="Z69" s="18"/>
      <c r="AA69" s="18">
        <f>K69+Z69</f>
        <v>0</v>
      </c>
      <c r="AB69" s="18">
        <f>SUM(U69)</f>
        <v>0.325128</v>
      </c>
      <c r="AC69" s="37">
        <f>SUM(U69*0.7)</f>
        <v>0.22758959999999998</v>
      </c>
      <c r="AD69" s="62">
        <f>SUM(AC69-K69)</f>
        <v>0.22758959999999998</v>
      </c>
      <c r="AE69" s="58">
        <f>SUM(AD69*0.7)</f>
        <v>0.15931271999999996</v>
      </c>
      <c r="AF69" s="17" t="s">
        <v>105</v>
      </c>
    </row>
    <row r="70" spans="1:32" ht="25.5">
      <c r="A70" s="16" t="s">
        <v>186</v>
      </c>
      <c r="B70" s="16" t="s">
        <v>159</v>
      </c>
      <c r="C70" s="17"/>
      <c r="D70" s="18">
        <v>0.8</v>
      </c>
      <c r="E70" s="46">
        <v>0.82</v>
      </c>
      <c r="F70" s="17" t="s">
        <v>128</v>
      </c>
      <c r="G70" s="17" t="s">
        <v>127</v>
      </c>
      <c r="H70" s="18">
        <v>0</v>
      </c>
      <c r="I70" s="17"/>
      <c r="J70" s="18">
        <v>0.8</v>
      </c>
      <c r="K70" s="37">
        <v>0.11</v>
      </c>
      <c r="L70" s="18">
        <f t="shared" si="34"/>
        <v>0.8</v>
      </c>
      <c r="M70" s="47">
        <f t="shared" si="35"/>
        <v>0.71</v>
      </c>
      <c r="N70" s="17" t="s">
        <v>108</v>
      </c>
      <c r="O70" s="131">
        <v>29506</v>
      </c>
      <c r="P70" s="18">
        <f t="shared" si="36"/>
        <v>3.09813</v>
      </c>
      <c r="Q70" s="18">
        <f t="shared" si="37"/>
        <v>2.478504</v>
      </c>
      <c r="R70" s="18">
        <f>SUM(E70*0.06)</f>
        <v>0.049199999999999994</v>
      </c>
      <c r="S70" s="17"/>
      <c r="T70" s="18">
        <f t="shared" si="38"/>
        <v>3.84893</v>
      </c>
      <c r="U70" s="46">
        <f t="shared" si="39"/>
        <v>3.249304</v>
      </c>
      <c r="V70" s="50" t="s">
        <v>131</v>
      </c>
      <c r="W70" s="50" t="s">
        <v>144</v>
      </c>
      <c r="X70" s="50">
        <f aca="true" t="shared" si="40" ref="X70:X75">SUM(U70)</f>
        <v>3.249304</v>
      </c>
      <c r="Y70" s="50"/>
      <c r="Z70" s="18">
        <v>0.85</v>
      </c>
      <c r="AA70" s="18">
        <f>K70+Z70</f>
        <v>0.96</v>
      </c>
      <c r="AB70" s="18">
        <f>SUM(U70)</f>
        <v>3.249304</v>
      </c>
      <c r="AC70" s="37">
        <f>SUM(U70*0.7)</f>
        <v>2.2745127999999997</v>
      </c>
      <c r="AD70" s="62">
        <f>SUM(AC70-K70)</f>
        <v>2.1645128</v>
      </c>
      <c r="AE70" s="58">
        <f aca="true" t="shared" si="41" ref="AE70:AE75">SUM(AD70*0.7)</f>
        <v>1.5151589599999997</v>
      </c>
      <c r="AF70" s="17" t="s">
        <v>367</v>
      </c>
    </row>
    <row r="71" spans="1:32" ht="25.5">
      <c r="A71" s="16" t="s">
        <v>316</v>
      </c>
      <c r="B71" s="16" t="s">
        <v>159</v>
      </c>
      <c r="C71" s="17"/>
      <c r="D71" s="18">
        <v>0.2</v>
      </c>
      <c r="E71" s="46">
        <v>0.11</v>
      </c>
      <c r="F71" s="17" t="s">
        <v>128</v>
      </c>
      <c r="G71" s="17" t="s">
        <v>127</v>
      </c>
      <c r="H71" s="18">
        <v>0</v>
      </c>
      <c r="I71" s="17"/>
      <c r="J71" s="18">
        <v>0.2</v>
      </c>
      <c r="K71" s="37">
        <v>0.11</v>
      </c>
      <c r="L71" s="18">
        <f t="shared" si="34"/>
        <v>0.2</v>
      </c>
      <c r="M71" s="47">
        <f t="shared" si="35"/>
        <v>0</v>
      </c>
      <c r="N71" s="17" t="s">
        <v>108</v>
      </c>
      <c r="O71" s="131">
        <v>0</v>
      </c>
      <c r="P71" s="18">
        <f t="shared" si="36"/>
        <v>0</v>
      </c>
      <c r="Q71" s="18">
        <f t="shared" si="37"/>
        <v>0</v>
      </c>
      <c r="R71" s="18">
        <f>SUM(E71*0.06)</f>
        <v>0.0066</v>
      </c>
      <c r="S71" s="17"/>
      <c r="T71" s="18">
        <f t="shared" si="38"/>
        <v>0.19340000000000002</v>
      </c>
      <c r="U71" s="46">
        <f t="shared" si="39"/>
        <v>0.1034</v>
      </c>
      <c r="V71" s="50" t="s">
        <v>338</v>
      </c>
      <c r="W71" s="50"/>
      <c r="X71" s="50">
        <f t="shared" si="40"/>
        <v>0.1034</v>
      </c>
      <c r="Y71" s="50"/>
      <c r="Z71" s="18"/>
      <c r="AA71" s="18">
        <v>0</v>
      </c>
      <c r="AB71" s="18">
        <v>0</v>
      </c>
      <c r="AC71" s="37">
        <v>0</v>
      </c>
      <c r="AD71" s="62">
        <v>0</v>
      </c>
      <c r="AE71" s="58">
        <f t="shared" si="41"/>
        <v>0</v>
      </c>
      <c r="AF71" s="17"/>
    </row>
    <row r="72" spans="1:32" ht="12.75">
      <c r="A72" s="16" t="s">
        <v>317</v>
      </c>
      <c r="B72" s="16" t="s">
        <v>159</v>
      </c>
      <c r="C72" s="17"/>
      <c r="D72" s="18">
        <v>0.11</v>
      </c>
      <c r="E72" s="46">
        <v>0.05</v>
      </c>
      <c r="F72" s="17" t="s">
        <v>169</v>
      </c>
      <c r="G72" s="17" t="s">
        <v>129</v>
      </c>
      <c r="H72" s="18">
        <v>0</v>
      </c>
      <c r="I72" s="17"/>
      <c r="J72" s="18">
        <v>0</v>
      </c>
      <c r="K72" s="37">
        <v>0</v>
      </c>
      <c r="L72" s="18">
        <f t="shared" si="34"/>
        <v>0.11</v>
      </c>
      <c r="M72" s="47">
        <f t="shared" si="35"/>
        <v>0.05</v>
      </c>
      <c r="N72" s="17"/>
      <c r="O72" s="131">
        <v>0</v>
      </c>
      <c r="P72" s="18">
        <f t="shared" si="36"/>
        <v>0</v>
      </c>
      <c r="Q72" s="18">
        <f t="shared" si="37"/>
        <v>0</v>
      </c>
      <c r="R72" s="18">
        <f>SUM(E72*0.06)</f>
        <v>0.003</v>
      </c>
      <c r="S72" s="17"/>
      <c r="T72" s="18">
        <f t="shared" si="38"/>
        <v>0.107</v>
      </c>
      <c r="U72" s="46">
        <f t="shared" si="39"/>
        <v>0.047</v>
      </c>
      <c r="V72" s="50" t="s">
        <v>131</v>
      </c>
      <c r="W72" s="50" t="s">
        <v>144</v>
      </c>
      <c r="X72" s="50">
        <f t="shared" si="40"/>
        <v>0.047</v>
      </c>
      <c r="Y72" s="50"/>
      <c r="Z72" s="18"/>
      <c r="AA72" s="18">
        <f>K72+Z72</f>
        <v>0</v>
      </c>
      <c r="AB72" s="18"/>
      <c r="AC72" s="37">
        <f>SUM(U72*0.7)</f>
        <v>0.0329</v>
      </c>
      <c r="AD72" s="62">
        <f>SUM(AC72-K72)</f>
        <v>0.0329</v>
      </c>
      <c r="AE72" s="58">
        <f t="shared" si="41"/>
        <v>0.02303</v>
      </c>
      <c r="AF72" s="17"/>
    </row>
    <row r="73" spans="1:32" ht="12.75">
      <c r="A73" s="16" t="s">
        <v>46</v>
      </c>
      <c r="B73" s="16" t="s">
        <v>159</v>
      </c>
      <c r="C73" s="17"/>
      <c r="D73" s="18">
        <v>1.25</v>
      </c>
      <c r="E73" s="46">
        <v>0.5</v>
      </c>
      <c r="F73" s="17" t="s">
        <v>128</v>
      </c>
      <c r="G73" s="17" t="s">
        <v>127</v>
      </c>
      <c r="H73" s="18">
        <v>0</v>
      </c>
      <c r="I73" s="17"/>
      <c r="J73" s="18">
        <v>1.25</v>
      </c>
      <c r="K73" s="37">
        <v>0</v>
      </c>
      <c r="L73" s="18">
        <f t="shared" si="34"/>
        <v>1.25</v>
      </c>
      <c r="M73" s="47">
        <f t="shared" si="35"/>
        <v>0.5</v>
      </c>
      <c r="N73" s="17"/>
      <c r="O73" s="131">
        <v>12420</v>
      </c>
      <c r="P73" s="18">
        <f t="shared" si="36"/>
        <v>1.3041</v>
      </c>
      <c r="Q73" s="18">
        <f t="shared" si="37"/>
        <v>1.04328</v>
      </c>
      <c r="R73" s="18">
        <f>SUM(E73*0.06)+0.008</f>
        <v>0.038</v>
      </c>
      <c r="S73" s="17"/>
      <c r="T73" s="18">
        <f t="shared" si="38"/>
        <v>2.5161000000000002</v>
      </c>
      <c r="U73" s="46">
        <f t="shared" si="39"/>
        <v>1.50528</v>
      </c>
      <c r="V73" s="50" t="s">
        <v>131</v>
      </c>
      <c r="W73" s="50" t="s">
        <v>144</v>
      </c>
      <c r="X73" s="50">
        <f t="shared" si="40"/>
        <v>1.50528</v>
      </c>
      <c r="Y73" s="50"/>
      <c r="Z73" s="18">
        <v>0.79</v>
      </c>
      <c r="AA73" s="18">
        <f>K73+Z73</f>
        <v>0.79</v>
      </c>
      <c r="AB73" s="18">
        <f>SUM(U73)</f>
        <v>1.50528</v>
      </c>
      <c r="AC73" s="37">
        <f>SUM(U73*1)</f>
        <v>1.50528</v>
      </c>
      <c r="AD73" s="62">
        <f>SUM(AC73-K73)</f>
        <v>1.50528</v>
      </c>
      <c r="AE73" s="58">
        <f t="shared" si="41"/>
        <v>1.053696</v>
      </c>
      <c r="AF73" s="17" t="s">
        <v>368</v>
      </c>
    </row>
    <row r="74" spans="1:32" ht="12.75">
      <c r="A74" s="16" t="s">
        <v>328</v>
      </c>
      <c r="B74" s="16" t="s">
        <v>159</v>
      </c>
      <c r="C74" s="17"/>
      <c r="D74" s="18">
        <v>0.23</v>
      </c>
      <c r="E74" s="46">
        <v>0.13</v>
      </c>
      <c r="F74" s="17" t="s">
        <v>169</v>
      </c>
      <c r="G74" s="17" t="s">
        <v>129</v>
      </c>
      <c r="H74" s="18">
        <v>0</v>
      </c>
      <c r="I74" s="17"/>
      <c r="J74" s="18">
        <v>0</v>
      </c>
      <c r="K74" s="37">
        <v>0</v>
      </c>
      <c r="L74" s="18">
        <f t="shared" si="34"/>
        <v>0.23</v>
      </c>
      <c r="M74" s="47">
        <f t="shared" si="35"/>
        <v>0.13</v>
      </c>
      <c r="N74" s="17"/>
      <c r="O74" s="131">
        <v>76</v>
      </c>
      <c r="P74" s="18">
        <f t="shared" si="36"/>
        <v>0.00798</v>
      </c>
      <c r="Q74" s="18">
        <f t="shared" si="37"/>
        <v>0.006384</v>
      </c>
      <c r="R74" s="18">
        <f>SUM(E74*0.06)</f>
        <v>0.0078</v>
      </c>
      <c r="S74" s="17"/>
      <c r="T74" s="18">
        <f t="shared" si="38"/>
        <v>0.23018</v>
      </c>
      <c r="U74" s="46">
        <f t="shared" si="39"/>
        <v>0.128584</v>
      </c>
      <c r="V74" s="50" t="s">
        <v>131</v>
      </c>
      <c r="W74" s="50" t="s">
        <v>144</v>
      </c>
      <c r="X74" s="50">
        <f t="shared" si="40"/>
        <v>0.128584</v>
      </c>
      <c r="Y74" s="50"/>
      <c r="Z74" s="18"/>
      <c r="AA74" s="18">
        <f>K74+Z74</f>
        <v>0</v>
      </c>
      <c r="AB74" s="18">
        <f>SUM(U74)</f>
        <v>0.128584</v>
      </c>
      <c r="AC74" s="37">
        <f>SUM(U74*0.7)</f>
        <v>0.0900088</v>
      </c>
      <c r="AD74" s="62">
        <f>SUM(AC74-K74)</f>
        <v>0.0900088</v>
      </c>
      <c r="AE74" s="58">
        <f t="shared" si="41"/>
        <v>0.06300615999999999</v>
      </c>
      <c r="AF74" s="17" t="s">
        <v>105</v>
      </c>
    </row>
    <row r="75" spans="1:32" ht="12.75">
      <c r="A75" s="16" t="s">
        <v>332</v>
      </c>
      <c r="B75" s="16" t="s">
        <v>159</v>
      </c>
      <c r="C75" s="17"/>
      <c r="D75" s="18">
        <v>4</v>
      </c>
      <c r="E75" s="46">
        <v>2.07</v>
      </c>
      <c r="F75" s="17" t="s">
        <v>128</v>
      </c>
      <c r="G75" s="17" t="s">
        <v>127</v>
      </c>
      <c r="H75" s="18">
        <v>0</v>
      </c>
      <c r="I75" s="17"/>
      <c r="J75" s="18">
        <v>4.97</v>
      </c>
      <c r="K75" s="37">
        <v>2.41</v>
      </c>
      <c r="L75" s="18">
        <f t="shared" si="34"/>
        <v>4</v>
      </c>
      <c r="M75" s="47">
        <v>0</v>
      </c>
      <c r="N75" s="17" t="s">
        <v>337</v>
      </c>
      <c r="O75" s="131">
        <v>0</v>
      </c>
      <c r="P75" s="18">
        <f t="shared" si="36"/>
        <v>0</v>
      </c>
      <c r="Q75" s="18">
        <f t="shared" si="37"/>
        <v>0</v>
      </c>
      <c r="R75" s="18">
        <f>SUM(E75*0.06)</f>
        <v>0.12419999999999999</v>
      </c>
      <c r="S75" s="17"/>
      <c r="T75" s="18">
        <f t="shared" si="38"/>
        <v>3.8758</v>
      </c>
      <c r="U75" s="46">
        <f t="shared" si="39"/>
        <v>1.9457999999999998</v>
      </c>
      <c r="V75" s="50" t="s">
        <v>131</v>
      </c>
      <c r="W75" s="50" t="s">
        <v>144</v>
      </c>
      <c r="X75" s="50">
        <f t="shared" si="40"/>
        <v>1.9457999999999998</v>
      </c>
      <c r="Y75" s="50"/>
      <c r="Z75" s="18"/>
      <c r="AA75" s="18">
        <f>K75+Z75</f>
        <v>2.41</v>
      </c>
      <c r="AB75" s="18">
        <v>3.13</v>
      </c>
      <c r="AC75" s="37">
        <v>2.41</v>
      </c>
      <c r="AD75" s="62">
        <f>SUM(AC75-K75)</f>
        <v>0</v>
      </c>
      <c r="AE75" s="58">
        <f t="shared" si="41"/>
        <v>0</v>
      </c>
      <c r="AF75" s="17" t="s">
        <v>278</v>
      </c>
    </row>
    <row r="76" spans="1:32" ht="15">
      <c r="A76" s="14" t="s">
        <v>185</v>
      </c>
      <c r="B76" s="14"/>
      <c r="C76" s="15"/>
      <c r="D76" s="51"/>
      <c r="E76" s="51"/>
      <c r="F76" s="15"/>
      <c r="G76" s="15"/>
      <c r="H76" s="51"/>
      <c r="I76" s="15"/>
      <c r="J76" s="51"/>
      <c r="K76" s="51"/>
      <c r="L76" s="51"/>
      <c r="M76" s="52"/>
      <c r="N76" s="15"/>
      <c r="O76" s="67"/>
      <c r="P76" s="15"/>
      <c r="Q76" s="15"/>
      <c r="R76" s="15"/>
      <c r="S76" s="15"/>
      <c r="T76" s="15"/>
      <c r="U76" s="53"/>
      <c r="V76" s="53"/>
      <c r="W76" s="53"/>
      <c r="X76" s="53"/>
      <c r="Y76" s="53"/>
      <c r="Z76" s="15"/>
      <c r="AA76" s="52"/>
      <c r="AB76" s="15"/>
      <c r="AC76" s="15"/>
      <c r="AD76" s="15"/>
      <c r="AE76" s="15"/>
      <c r="AF76" s="15"/>
    </row>
    <row r="77" spans="1:32" ht="15">
      <c r="A77" s="16" t="s">
        <v>13</v>
      </c>
      <c r="B77" s="16"/>
      <c r="C77" s="17">
        <v>0</v>
      </c>
      <c r="D77" s="18">
        <v>0</v>
      </c>
      <c r="E77" s="46">
        <v>0</v>
      </c>
      <c r="F77" s="17"/>
      <c r="G77" s="17"/>
      <c r="H77" s="18">
        <v>0</v>
      </c>
      <c r="I77" s="17"/>
      <c r="J77" s="18">
        <v>0</v>
      </c>
      <c r="K77" s="37">
        <v>0</v>
      </c>
      <c r="L77" s="18">
        <v>0</v>
      </c>
      <c r="M77" s="47">
        <f>SUM(E77-K77)</f>
        <v>0</v>
      </c>
      <c r="N77" s="17"/>
      <c r="O77" s="131">
        <v>0</v>
      </c>
      <c r="P77" s="18">
        <v>0</v>
      </c>
      <c r="Q77" s="18">
        <v>0</v>
      </c>
      <c r="R77" s="18">
        <v>0</v>
      </c>
      <c r="S77" s="18">
        <v>0</v>
      </c>
      <c r="T77" s="18">
        <v>0</v>
      </c>
      <c r="U77" s="46">
        <v>0</v>
      </c>
      <c r="V77" s="43"/>
      <c r="W77" s="43"/>
      <c r="X77" s="18">
        <v>0</v>
      </c>
      <c r="Y77" s="43"/>
      <c r="Z77" s="18">
        <v>0</v>
      </c>
      <c r="AA77" s="18">
        <v>0</v>
      </c>
      <c r="AB77" s="18">
        <v>0</v>
      </c>
      <c r="AC77" s="37">
        <v>0</v>
      </c>
      <c r="AD77" s="62">
        <v>0</v>
      </c>
      <c r="AE77" s="58">
        <v>0</v>
      </c>
      <c r="AF77" s="20"/>
    </row>
    <row r="78" spans="1:32" ht="15.75" thickBot="1">
      <c r="A78" s="22" t="s">
        <v>14</v>
      </c>
      <c r="B78" s="22"/>
      <c r="C78" s="23">
        <v>7</v>
      </c>
      <c r="D78" s="24">
        <f>SUM(D69:D75)</f>
        <v>6.84</v>
      </c>
      <c r="E78" s="132">
        <f>SUM(E69:E75)</f>
        <v>3.83</v>
      </c>
      <c r="F78" s="23"/>
      <c r="G78" s="23"/>
      <c r="H78" s="24">
        <f>SUM(H69:H75)</f>
        <v>0</v>
      </c>
      <c r="I78" s="23"/>
      <c r="J78" s="24">
        <f>SUM(J69:J75)</f>
        <v>7.22</v>
      </c>
      <c r="K78" s="133">
        <f>SUM(K69:K75)</f>
        <v>2.6300000000000003</v>
      </c>
      <c r="L78" s="24">
        <f>SUM(L69:L75)</f>
        <v>6.84</v>
      </c>
      <c r="M78" s="47">
        <f>SUM(M69:M75)</f>
        <v>1.54</v>
      </c>
      <c r="N78" s="23"/>
      <c r="O78" s="69">
        <f aca="true" t="shared" si="42" ref="O78:U78">SUM(O69:O75)</f>
        <v>44194</v>
      </c>
      <c r="P78" s="24">
        <f t="shared" si="42"/>
        <v>4.64037</v>
      </c>
      <c r="Q78" s="24">
        <f t="shared" si="42"/>
        <v>3.712296</v>
      </c>
      <c r="R78" s="24">
        <f t="shared" si="42"/>
        <v>0.2378</v>
      </c>
      <c r="S78" s="24">
        <f t="shared" si="42"/>
        <v>0</v>
      </c>
      <c r="T78" s="24">
        <f t="shared" si="42"/>
        <v>11.24257</v>
      </c>
      <c r="U78" s="132">
        <f t="shared" si="42"/>
        <v>7.304496</v>
      </c>
      <c r="V78" s="45"/>
      <c r="W78" s="45"/>
      <c r="X78" s="24">
        <f>SUM(X69:X75)</f>
        <v>7.304496</v>
      </c>
      <c r="Y78" s="45"/>
      <c r="Z78" s="24">
        <f aca="true" t="shared" si="43" ref="Z78:AE78">SUM(Z69:Z75)</f>
        <v>1.6400000000000001</v>
      </c>
      <c r="AA78" s="24">
        <f t="shared" si="43"/>
        <v>4.16</v>
      </c>
      <c r="AB78" s="24">
        <f t="shared" si="43"/>
        <v>8.338296</v>
      </c>
      <c r="AC78" s="133">
        <f t="shared" si="43"/>
        <v>6.5402911999999995</v>
      </c>
      <c r="AD78" s="117">
        <f t="shared" si="43"/>
        <v>4.0202912</v>
      </c>
      <c r="AE78" s="59">
        <f t="shared" si="43"/>
        <v>2.81420384</v>
      </c>
      <c r="AF78" s="25"/>
    </row>
    <row r="79" spans="1:32" ht="13.5" thickBot="1">
      <c r="A79" s="26" t="s">
        <v>15</v>
      </c>
      <c r="B79" s="65"/>
      <c r="C79" s="27">
        <f>SUM(C77,C78)</f>
        <v>7</v>
      </c>
      <c r="D79" s="33">
        <f>SUM(D77:D78)</f>
        <v>6.84</v>
      </c>
      <c r="E79" s="134">
        <f>SUM(E77:E78)</f>
        <v>3.83</v>
      </c>
      <c r="F79" s="27"/>
      <c r="G79" s="27"/>
      <c r="H79" s="33">
        <f>SUM(H77:H78)</f>
        <v>0</v>
      </c>
      <c r="I79" s="135">
        <f>(H79/E79)</f>
        <v>0</v>
      </c>
      <c r="J79" s="33">
        <f>SUM(J77:J78)</f>
        <v>7.22</v>
      </c>
      <c r="K79" s="136">
        <f>SUM(K77:K78)</f>
        <v>2.6300000000000003</v>
      </c>
      <c r="L79" s="33">
        <f>SUM(L77:L78)</f>
        <v>6.84</v>
      </c>
      <c r="M79" s="48">
        <f>SUM(M77:M78)</f>
        <v>1.54</v>
      </c>
      <c r="N79" s="27"/>
      <c r="O79" s="138">
        <f aca="true" t="shared" si="44" ref="O79:U79">SUM(O77:O78)</f>
        <v>44194</v>
      </c>
      <c r="P79" s="33">
        <f t="shared" si="44"/>
        <v>4.64037</v>
      </c>
      <c r="Q79" s="33">
        <f t="shared" si="44"/>
        <v>3.712296</v>
      </c>
      <c r="R79" s="33">
        <f t="shared" si="44"/>
        <v>0.2378</v>
      </c>
      <c r="S79" s="33">
        <f t="shared" si="44"/>
        <v>0</v>
      </c>
      <c r="T79" s="33">
        <f t="shared" si="44"/>
        <v>11.24257</v>
      </c>
      <c r="U79" s="134">
        <f t="shared" si="44"/>
        <v>7.304496</v>
      </c>
      <c r="V79" s="33"/>
      <c r="W79" s="33"/>
      <c r="X79" s="33">
        <f>SUM(X77:X78)</f>
        <v>7.304496</v>
      </c>
      <c r="Y79" s="135">
        <f>SUM(X79/U79)</f>
        <v>1</v>
      </c>
      <c r="Z79" s="33">
        <f aca="true" t="shared" si="45" ref="Z79:AE79">SUM(Z77:Z78)</f>
        <v>1.6400000000000001</v>
      </c>
      <c r="AA79" s="33">
        <f t="shared" si="45"/>
        <v>4.16</v>
      </c>
      <c r="AB79" s="33">
        <f t="shared" si="45"/>
        <v>8.338296</v>
      </c>
      <c r="AC79" s="136">
        <f t="shared" si="45"/>
        <v>6.5402911999999995</v>
      </c>
      <c r="AD79" s="118">
        <f t="shared" si="45"/>
        <v>4.0202912</v>
      </c>
      <c r="AE79" s="60">
        <f t="shared" si="45"/>
        <v>2.81420384</v>
      </c>
      <c r="AF79" s="34"/>
    </row>
    <row r="80" spans="1:32" ht="14.25">
      <c r="A80" s="77" t="s">
        <v>182</v>
      </c>
      <c r="B80" s="77"/>
      <c r="C80" s="76"/>
      <c r="D80" s="75"/>
      <c r="E80" s="75"/>
      <c r="F80" s="76"/>
      <c r="G80" s="76"/>
      <c r="H80" s="76"/>
      <c r="I80" s="76"/>
      <c r="J80" s="75"/>
      <c r="K80" s="76"/>
      <c r="L80" s="75"/>
      <c r="M80" s="76"/>
      <c r="N80" s="76"/>
      <c r="O80" s="73">
        <v>73639</v>
      </c>
      <c r="P80" s="75"/>
      <c r="Q80" s="75"/>
      <c r="R80" s="75"/>
      <c r="S80" s="75"/>
      <c r="T80" s="75"/>
      <c r="U80" s="75"/>
      <c r="V80" s="75"/>
      <c r="W80" s="75"/>
      <c r="X80" s="75"/>
      <c r="Y80" s="75"/>
      <c r="Z80" s="75"/>
      <c r="AA80" s="75"/>
      <c r="AB80" s="75"/>
      <c r="AC80" s="75"/>
      <c r="AD80" s="75"/>
      <c r="AE80" s="75"/>
      <c r="AF80" s="5" t="s">
        <v>265</v>
      </c>
    </row>
    <row r="81" spans="1:32" ht="12.75">
      <c r="A81" s="77" t="s">
        <v>173</v>
      </c>
      <c r="B81" s="77"/>
      <c r="C81" s="76"/>
      <c r="D81" s="75"/>
      <c r="E81" s="75"/>
      <c r="F81" s="76"/>
      <c r="G81" s="76"/>
      <c r="H81" s="76"/>
      <c r="I81" s="76"/>
      <c r="J81" s="75"/>
      <c r="K81" s="76"/>
      <c r="L81" s="75"/>
      <c r="M81" s="76"/>
      <c r="N81" s="76"/>
      <c r="O81" s="74">
        <f>SUM(O79/O80)</f>
        <v>0.6001439454636809</v>
      </c>
      <c r="P81" s="75"/>
      <c r="Q81" s="75"/>
      <c r="R81" s="75"/>
      <c r="S81" s="75"/>
      <c r="T81" s="75"/>
      <c r="U81" s="75"/>
      <c r="V81" s="75"/>
      <c r="W81" s="75"/>
      <c r="X81" s="75"/>
      <c r="Y81" s="75"/>
      <c r="Z81" s="75"/>
      <c r="AA81" s="75"/>
      <c r="AB81" s="75"/>
      <c r="AC81" s="75"/>
      <c r="AD81" s="75"/>
      <c r="AE81" s="75"/>
      <c r="AF81" s="5"/>
    </row>
    <row r="82" spans="1:256" ht="12.75">
      <c r="A82" s="194" t="s">
        <v>333</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t="s">
        <v>333</v>
      </c>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t="s">
        <v>333</v>
      </c>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c r="CP82" s="194"/>
      <c r="CQ82" s="194"/>
      <c r="CR82" s="194"/>
      <c r="CS82" s="194" t="s">
        <v>333</v>
      </c>
      <c r="CT82" s="194"/>
      <c r="CU82" s="194"/>
      <c r="CV82" s="194"/>
      <c r="CW82" s="194"/>
      <c r="CX82" s="194"/>
      <c r="CY82" s="194"/>
      <c r="CZ82" s="194"/>
      <c r="DA82" s="194"/>
      <c r="DB82" s="194"/>
      <c r="DC82" s="194"/>
      <c r="DD82" s="194"/>
      <c r="DE82" s="194"/>
      <c r="DF82" s="194"/>
      <c r="DG82" s="194"/>
      <c r="DH82" s="194"/>
      <c r="DI82" s="194"/>
      <c r="DJ82" s="194"/>
      <c r="DK82" s="194"/>
      <c r="DL82" s="194"/>
      <c r="DM82" s="194"/>
      <c r="DN82" s="194"/>
      <c r="DO82" s="194"/>
      <c r="DP82" s="194"/>
      <c r="DQ82" s="194"/>
      <c r="DR82" s="194"/>
      <c r="DS82" s="194"/>
      <c r="DT82" s="194"/>
      <c r="DU82" s="194"/>
      <c r="DV82" s="194"/>
      <c r="DW82" s="194"/>
      <c r="DX82" s="194"/>
      <c r="DY82" s="194" t="s">
        <v>333</v>
      </c>
      <c r="DZ82" s="194"/>
      <c r="EA82" s="194"/>
      <c r="EB82" s="194"/>
      <c r="EC82" s="194"/>
      <c r="ED82" s="194"/>
      <c r="EE82" s="194"/>
      <c r="EF82" s="194"/>
      <c r="EG82" s="194"/>
      <c r="EH82" s="194"/>
      <c r="EI82" s="194"/>
      <c r="EJ82" s="194"/>
      <c r="EK82" s="194"/>
      <c r="EL82" s="194"/>
      <c r="EM82" s="194"/>
      <c r="EN82" s="194"/>
      <c r="EO82" s="194"/>
      <c r="EP82" s="194"/>
      <c r="EQ82" s="194"/>
      <c r="ER82" s="194"/>
      <c r="ES82" s="194"/>
      <c r="ET82" s="194"/>
      <c r="EU82" s="194"/>
      <c r="EV82" s="194"/>
      <c r="EW82" s="194"/>
      <c r="EX82" s="194"/>
      <c r="EY82" s="194"/>
      <c r="EZ82" s="194"/>
      <c r="FA82" s="194"/>
      <c r="FB82" s="194"/>
      <c r="FC82" s="194"/>
      <c r="FD82" s="194"/>
      <c r="FE82" s="194" t="s">
        <v>333</v>
      </c>
      <c r="FF82" s="194"/>
      <c r="FG82" s="194"/>
      <c r="FH82" s="194"/>
      <c r="FI82" s="194"/>
      <c r="FJ82" s="194"/>
      <c r="FK82" s="194"/>
      <c r="FL82" s="194"/>
      <c r="FM82" s="194"/>
      <c r="FN82" s="194"/>
      <c r="FO82" s="194"/>
      <c r="FP82" s="194"/>
      <c r="FQ82" s="194"/>
      <c r="FR82" s="194"/>
      <c r="FS82" s="194"/>
      <c r="FT82" s="194"/>
      <c r="FU82" s="194"/>
      <c r="FV82" s="194"/>
      <c r="FW82" s="194"/>
      <c r="FX82" s="194"/>
      <c r="FY82" s="194"/>
      <c r="FZ82" s="194"/>
      <c r="GA82" s="194"/>
      <c r="GB82" s="194"/>
      <c r="GC82" s="194"/>
      <c r="GD82" s="194"/>
      <c r="GE82" s="194"/>
      <c r="GF82" s="194"/>
      <c r="GG82" s="194"/>
      <c r="GH82" s="194"/>
      <c r="GI82" s="194"/>
      <c r="GJ82" s="194"/>
      <c r="GK82" s="194" t="s">
        <v>333</v>
      </c>
      <c r="GL82" s="194"/>
      <c r="GM82" s="194"/>
      <c r="GN82" s="194"/>
      <c r="GO82" s="194"/>
      <c r="GP82" s="194"/>
      <c r="GQ82" s="194"/>
      <c r="GR82" s="194"/>
      <c r="GS82" s="194"/>
      <c r="GT82" s="194"/>
      <c r="GU82" s="194"/>
      <c r="GV82" s="194"/>
      <c r="GW82" s="194"/>
      <c r="GX82" s="194"/>
      <c r="GY82" s="194"/>
      <c r="GZ82" s="194"/>
      <c r="HA82" s="194"/>
      <c r="HB82" s="194"/>
      <c r="HC82" s="194"/>
      <c r="HD82" s="194"/>
      <c r="HE82" s="194"/>
      <c r="HF82" s="194"/>
      <c r="HG82" s="194"/>
      <c r="HH82" s="194"/>
      <c r="HI82" s="194"/>
      <c r="HJ82" s="194"/>
      <c r="HK82" s="194"/>
      <c r="HL82" s="194"/>
      <c r="HM82" s="194"/>
      <c r="HN82" s="194"/>
      <c r="HO82" s="194"/>
      <c r="HP82" s="194"/>
      <c r="HQ82" s="194" t="s">
        <v>333</v>
      </c>
      <c r="HR82" s="194"/>
      <c r="HS82" s="194"/>
      <c r="HT82" s="194"/>
      <c r="HU82" s="194"/>
      <c r="HV82" s="194"/>
      <c r="HW82" s="194"/>
      <c r="HX82" s="194"/>
      <c r="HY82" s="194"/>
      <c r="HZ82" s="194"/>
      <c r="IA82" s="194"/>
      <c r="IB82" s="194"/>
      <c r="IC82" s="194"/>
      <c r="ID82" s="194"/>
      <c r="IE82" s="194"/>
      <c r="IF82" s="194"/>
      <c r="IG82" s="194"/>
      <c r="IH82" s="194"/>
      <c r="II82" s="194"/>
      <c r="IJ82" s="194"/>
      <c r="IK82" s="194"/>
      <c r="IL82" s="194"/>
      <c r="IM82" s="194"/>
      <c r="IN82" s="194"/>
      <c r="IO82" s="194"/>
      <c r="IP82" s="194"/>
      <c r="IQ82" s="194"/>
      <c r="IR82" s="194"/>
      <c r="IS82" s="194"/>
      <c r="IT82" s="194"/>
      <c r="IU82" s="194"/>
      <c r="IV82" s="194"/>
    </row>
    <row r="83" spans="1:256" ht="12.75">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194"/>
      <c r="CS83" s="194"/>
      <c r="CT83" s="194"/>
      <c r="CU83" s="194"/>
      <c r="CV83" s="194"/>
      <c r="CW83" s="194"/>
      <c r="CX83" s="194"/>
      <c r="CY83" s="194"/>
      <c r="CZ83" s="194"/>
      <c r="DA83" s="194"/>
      <c r="DB83" s="194"/>
      <c r="DC83" s="194"/>
      <c r="DD83" s="194"/>
      <c r="DE83" s="194"/>
      <c r="DF83" s="194"/>
      <c r="DG83" s="194"/>
      <c r="DH83" s="194"/>
      <c r="DI83" s="194"/>
      <c r="DJ83" s="194"/>
      <c r="DK83" s="194"/>
      <c r="DL83" s="194"/>
      <c r="DM83" s="194"/>
      <c r="DN83" s="194"/>
      <c r="DO83" s="194"/>
      <c r="DP83" s="194"/>
      <c r="DQ83" s="194"/>
      <c r="DR83" s="194"/>
      <c r="DS83" s="194"/>
      <c r="DT83" s="194"/>
      <c r="DU83" s="194"/>
      <c r="DV83" s="194"/>
      <c r="DW83" s="194"/>
      <c r="DX83" s="194"/>
      <c r="DY83" s="194"/>
      <c r="DZ83" s="194"/>
      <c r="EA83" s="194"/>
      <c r="EB83" s="194"/>
      <c r="EC83" s="194"/>
      <c r="ED83" s="194"/>
      <c r="EE83" s="194"/>
      <c r="EF83" s="194"/>
      <c r="EG83" s="194"/>
      <c r="EH83" s="194"/>
      <c r="EI83" s="194"/>
      <c r="EJ83" s="194"/>
      <c r="EK83" s="194"/>
      <c r="EL83" s="194"/>
      <c r="EM83" s="194"/>
      <c r="EN83" s="194"/>
      <c r="EO83" s="194"/>
      <c r="EP83" s="194"/>
      <c r="EQ83" s="194"/>
      <c r="ER83" s="194"/>
      <c r="ES83" s="194"/>
      <c r="ET83" s="194"/>
      <c r="EU83" s="194"/>
      <c r="EV83" s="194"/>
      <c r="EW83" s="194"/>
      <c r="EX83" s="194"/>
      <c r="EY83" s="194"/>
      <c r="EZ83" s="194"/>
      <c r="FA83" s="194"/>
      <c r="FB83" s="194"/>
      <c r="FC83" s="194"/>
      <c r="FD83" s="194"/>
      <c r="FE83" s="194"/>
      <c r="FF83" s="194"/>
      <c r="FG83" s="194"/>
      <c r="FH83" s="194"/>
      <c r="FI83" s="194"/>
      <c r="FJ83" s="194"/>
      <c r="FK83" s="194"/>
      <c r="FL83" s="194"/>
      <c r="FM83" s="194"/>
      <c r="FN83" s="194"/>
      <c r="FO83" s="194"/>
      <c r="FP83" s="194"/>
      <c r="FQ83" s="194"/>
      <c r="FR83" s="194"/>
      <c r="FS83" s="194"/>
      <c r="FT83" s="194"/>
      <c r="FU83" s="194"/>
      <c r="FV83" s="194"/>
      <c r="FW83" s="194"/>
      <c r="FX83" s="194"/>
      <c r="FY83" s="194"/>
      <c r="FZ83" s="194"/>
      <c r="GA83" s="194"/>
      <c r="GB83" s="194"/>
      <c r="GC83" s="194"/>
      <c r="GD83" s="194"/>
      <c r="GE83" s="194"/>
      <c r="GF83" s="194"/>
      <c r="GG83" s="194"/>
      <c r="GH83" s="194"/>
      <c r="GI83" s="194"/>
      <c r="GJ83" s="194"/>
      <c r="GK83" s="194"/>
      <c r="GL83" s="194"/>
      <c r="GM83" s="194"/>
      <c r="GN83" s="194"/>
      <c r="GO83" s="194"/>
      <c r="GP83" s="194"/>
      <c r="GQ83" s="194"/>
      <c r="GR83" s="194"/>
      <c r="GS83" s="194"/>
      <c r="GT83" s="194"/>
      <c r="GU83" s="194"/>
      <c r="GV83" s="194"/>
      <c r="GW83" s="194"/>
      <c r="GX83" s="194"/>
      <c r="GY83" s="194"/>
      <c r="GZ83" s="194"/>
      <c r="HA83" s="194"/>
      <c r="HB83" s="194"/>
      <c r="HC83" s="194"/>
      <c r="HD83" s="194"/>
      <c r="HE83" s="194"/>
      <c r="HF83" s="194"/>
      <c r="HG83" s="194"/>
      <c r="HH83" s="194"/>
      <c r="HI83" s="194"/>
      <c r="HJ83" s="194"/>
      <c r="HK83" s="194"/>
      <c r="HL83" s="194"/>
      <c r="HM83" s="194"/>
      <c r="HN83" s="194"/>
      <c r="HO83" s="194"/>
      <c r="HP83" s="194"/>
      <c r="HQ83" s="194"/>
      <c r="HR83" s="194"/>
      <c r="HS83" s="194"/>
      <c r="HT83" s="194"/>
      <c r="HU83" s="194"/>
      <c r="HV83" s="194"/>
      <c r="HW83" s="194"/>
      <c r="HX83" s="194"/>
      <c r="HY83" s="194"/>
      <c r="HZ83" s="194"/>
      <c r="IA83" s="194"/>
      <c r="IB83" s="194"/>
      <c r="IC83" s="194"/>
      <c r="ID83" s="194"/>
      <c r="IE83" s="194"/>
      <c r="IF83" s="194"/>
      <c r="IG83" s="194"/>
      <c r="IH83" s="194"/>
      <c r="II83" s="194"/>
      <c r="IJ83" s="194"/>
      <c r="IK83" s="194"/>
      <c r="IL83" s="194"/>
      <c r="IM83" s="194"/>
      <c r="IN83" s="194"/>
      <c r="IO83" s="194"/>
      <c r="IP83" s="194"/>
      <c r="IQ83" s="194"/>
      <c r="IR83" s="194"/>
      <c r="IS83" s="194"/>
      <c r="IT83" s="194"/>
      <c r="IU83" s="194"/>
      <c r="IV83" s="194"/>
    </row>
    <row r="84" spans="1:32" ht="12.75">
      <c r="A84" s="77"/>
      <c r="B84" s="77"/>
      <c r="C84" s="76"/>
      <c r="D84" s="75"/>
      <c r="E84" s="75"/>
      <c r="F84" s="76"/>
      <c r="G84" s="76"/>
      <c r="H84" s="76"/>
      <c r="I84" s="76"/>
      <c r="J84" s="75"/>
      <c r="K84" s="76"/>
      <c r="L84" s="75"/>
      <c r="M84" s="76"/>
      <c r="N84" s="76"/>
      <c r="O84" s="83"/>
      <c r="P84" s="75"/>
      <c r="Q84" s="75"/>
      <c r="R84" s="75"/>
      <c r="S84" s="75"/>
      <c r="T84" s="75"/>
      <c r="U84" s="75"/>
      <c r="V84" s="75"/>
      <c r="W84" s="75"/>
      <c r="X84" s="75"/>
      <c r="Y84" s="75"/>
      <c r="Z84" s="75"/>
      <c r="AA84" s="75"/>
      <c r="AB84" s="75"/>
      <c r="AC84" s="75"/>
      <c r="AD84" s="75"/>
      <c r="AE84" s="75"/>
      <c r="AF84" s="5"/>
    </row>
    <row r="85" spans="1:32" ht="26.25" customHeight="1">
      <c r="A85" s="206"/>
      <c r="B85" s="64"/>
      <c r="C85" s="10"/>
      <c r="D85" s="198" t="s">
        <v>285</v>
      </c>
      <c r="E85" s="198"/>
      <c r="F85" s="199" t="s">
        <v>286</v>
      </c>
      <c r="G85" s="199"/>
      <c r="H85" s="113" t="s">
        <v>131</v>
      </c>
      <c r="I85" s="109">
        <v>2010</v>
      </c>
      <c r="J85" s="208" t="s">
        <v>287</v>
      </c>
      <c r="K85" s="208"/>
      <c r="L85" s="209" t="s">
        <v>288</v>
      </c>
      <c r="M85" s="209"/>
      <c r="N85" s="10">
        <v>2010</v>
      </c>
      <c r="O85" s="68" t="s">
        <v>289</v>
      </c>
      <c r="P85" s="199" t="s">
        <v>290</v>
      </c>
      <c r="Q85" s="199"/>
      <c r="R85" s="199" t="s">
        <v>291</v>
      </c>
      <c r="S85" s="199"/>
      <c r="T85" s="198" t="s">
        <v>292</v>
      </c>
      <c r="U85" s="198"/>
      <c r="V85" s="199" t="s">
        <v>293</v>
      </c>
      <c r="W85" s="199"/>
      <c r="X85" s="114" t="s">
        <v>298</v>
      </c>
      <c r="Y85" s="114" t="s">
        <v>299</v>
      </c>
      <c r="Z85" s="200" t="s">
        <v>294</v>
      </c>
      <c r="AA85" s="40">
        <v>2020</v>
      </c>
      <c r="AB85" s="207" t="s">
        <v>295</v>
      </c>
      <c r="AC85" s="208"/>
      <c r="AD85" s="61" t="s">
        <v>296</v>
      </c>
      <c r="AE85" s="57" t="s">
        <v>296</v>
      </c>
      <c r="AF85" s="10"/>
    </row>
    <row r="86" spans="1:32" ht="12.75">
      <c r="A86" s="206"/>
      <c r="B86" s="66" t="s">
        <v>153</v>
      </c>
      <c r="C86" s="10" t="s">
        <v>0</v>
      </c>
      <c r="D86" s="198"/>
      <c r="E86" s="198"/>
      <c r="F86" s="199"/>
      <c r="G86" s="199"/>
      <c r="H86" s="113"/>
      <c r="I86" s="109" t="s">
        <v>131</v>
      </c>
      <c r="J86" s="208"/>
      <c r="K86" s="208"/>
      <c r="L86" s="209"/>
      <c r="M86" s="209"/>
      <c r="N86" s="10" t="s">
        <v>2</v>
      </c>
      <c r="O86" s="68" t="s">
        <v>161</v>
      </c>
      <c r="P86" s="199"/>
      <c r="Q86" s="199"/>
      <c r="R86" s="199"/>
      <c r="S86" s="199"/>
      <c r="T86" s="198"/>
      <c r="U86" s="198"/>
      <c r="V86" s="199"/>
      <c r="W86" s="199"/>
      <c r="X86" s="114" t="s">
        <v>131</v>
      </c>
      <c r="Y86" s="114"/>
      <c r="Z86" s="201"/>
      <c r="AA86" s="41" t="s">
        <v>145</v>
      </c>
      <c r="AB86" s="207"/>
      <c r="AC86" s="208"/>
      <c r="AD86" s="61" t="s">
        <v>145</v>
      </c>
      <c r="AE86" s="57" t="s">
        <v>297</v>
      </c>
      <c r="AF86" s="10" t="s">
        <v>3</v>
      </c>
    </row>
    <row r="87" spans="1:32" ht="14.25">
      <c r="A87" s="206"/>
      <c r="B87" s="66" t="s">
        <v>151</v>
      </c>
      <c r="C87" s="10" t="s">
        <v>1</v>
      </c>
      <c r="D87" s="198"/>
      <c r="E87" s="198"/>
      <c r="F87" s="199"/>
      <c r="G87" s="199"/>
      <c r="H87" s="113"/>
      <c r="I87" s="109"/>
      <c r="J87" s="208"/>
      <c r="K87" s="208"/>
      <c r="L87" s="209"/>
      <c r="M87" s="209"/>
      <c r="N87" s="10" t="s">
        <v>97</v>
      </c>
      <c r="O87" s="68" t="s">
        <v>270</v>
      </c>
      <c r="P87" s="199"/>
      <c r="Q87" s="199"/>
      <c r="R87" s="199"/>
      <c r="S87" s="199"/>
      <c r="T87" s="198"/>
      <c r="U87" s="198"/>
      <c r="V87" s="199"/>
      <c r="W87" s="199"/>
      <c r="X87" s="109"/>
      <c r="Y87" s="109"/>
      <c r="Z87" s="202"/>
      <c r="AA87" s="39" t="s">
        <v>143</v>
      </c>
      <c r="AB87" s="208"/>
      <c r="AC87" s="208"/>
      <c r="AD87" s="61"/>
      <c r="AE87" s="57"/>
      <c r="AF87" s="125"/>
    </row>
    <row r="88" spans="1:32" ht="46.5">
      <c r="A88" s="78" t="s">
        <v>199</v>
      </c>
      <c r="B88" s="10" t="s">
        <v>154</v>
      </c>
      <c r="C88" s="10" t="s">
        <v>302</v>
      </c>
      <c r="D88" s="10" t="s">
        <v>5</v>
      </c>
      <c r="E88" s="11" t="s">
        <v>7</v>
      </c>
      <c r="F88" s="10" t="s">
        <v>95</v>
      </c>
      <c r="G88" s="10" t="s">
        <v>96</v>
      </c>
      <c r="H88" s="113" t="s">
        <v>7</v>
      </c>
      <c r="I88" s="109"/>
      <c r="J88" s="10" t="s">
        <v>5</v>
      </c>
      <c r="K88" s="12" t="s">
        <v>277</v>
      </c>
      <c r="L88" s="10" t="s">
        <v>5</v>
      </c>
      <c r="M88" s="42" t="s">
        <v>7</v>
      </c>
      <c r="N88" s="10"/>
      <c r="O88" s="68"/>
      <c r="P88" s="10" t="s">
        <v>5</v>
      </c>
      <c r="Q88" s="10" t="s">
        <v>7</v>
      </c>
      <c r="R88" s="10" t="s">
        <v>272</v>
      </c>
      <c r="S88" s="10" t="s">
        <v>273</v>
      </c>
      <c r="T88" s="10" t="s">
        <v>5</v>
      </c>
      <c r="U88" s="11" t="s">
        <v>7</v>
      </c>
      <c r="V88" s="10" t="s">
        <v>95</v>
      </c>
      <c r="W88" s="10" t="s">
        <v>96</v>
      </c>
      <c r="X88" s="109"/>
      <c r="Y88" s="109"/>
      <c r="Z88" s="10"/>
      <c r="AA88" s="10"/>
      <c r="AB88" s="10" t="s">
        <v>5</v>
      </c>
      <c r="AC88" s="12" t="s">
        <v>334</v>
      </c>
      <c r="AD88" s="61" t="s">
        <v>335</v>
      </c>
      <c r="AE88" s="57" t="s">
        <v>336</v>
      </c>
      <c r="AF88" s="125"/>
    </row>
    <row r="89" spans="1:32" ht="12.75">
      <c r="A89" s="10"/>
      <c r="B89" s="10"/>
      <c r="C89" s="125"/>
      <c r="D89" s="10" t="s">
        <v>6</v>
      </c>
      <c r="E89" s="11" t="s">
        <v>6</v>
      </c>
      <c r="F89" s="10"/>
      <c r="G89" s="10"/>
      <c r="H89" s="113" t="s">
        <v>6</v>
      </c>
      <c r="I89" s="109" t="s">
        <v>300</v>
      </c>
      <c r="J89" s="10" t="s">
        <v>6</v>
      </c>
      <c r="K89" s="12" t="s">
        <v>6</v>
      </c>
      <c r="L89" s="10" t="s">
        <v>6</v>
      </c>
      <c r="M89" s="42" t="s">
        <v>6</v>
      </c>
      <c r="N89" s="125"/>
      <c r="O89" s="126"/>
      <c r="P89" s="10" t="s">
        <v>6</v>
      </c>
      <c r="Q89" s="10" t="s">
        <v>6</v>
      </c>
      <c r="R89" s="10" t="s">
        <v>6</v>
      </c>
      <c r="S89" s="10" t="s">
        <v>6</v>
      </c>
      <c r="T89" s="10" t="s">
        <v>6</v>
      </c>
      <c r="U89" s="11" t="s">
        <v>6</v>
      </c>
      <c r="V89" s="10"/>
      <c r="W89" s="10"/>
      <c r="X89" s="109" t="s">
        <v>6</v>
      </c>
      <c r="Y89" s="109" t="s">
        <v>300</v>
      </c>
      <c r="Z89" s="10" t="s">
        <v>6</v>
      </c>
      <c r="AA89" s="10" t="s">
        <v>6</v>
      </c>
      <c r="AB89" s="10" t="s">
        <v>6</v>
      </c>
      <c r="AC89" s="12" t="s">
        <v>6</v>
      </c>
      <c r="AD89" s="61" t="s">
        <v>6</v>
      </c>
      <c r="AE89" s="57" t="s">
        <v>6</v>
      </c>
      <c r="AF89" s="125"/>
    </row>
    <row r="90" spans="1:32" ht="12.75">
      <c r="A90" s="10" t="s">
        <v>4</v>
      </c>
      <c r="B90" s="10"/>
      <c r="C90" s="125"/>
      <c r="D90" s="125"/>
      <c r="E90" s="127"/>
      <c r="F90" s="125"/>
      <c r="G90" s="125"/>
      <c r="H90" s="125"/>
      <c r="I90" s="125"/>
      <c r="J90" s="125"/>
      <c r="K90" s="128"/>
      <c r="L90" s="125"/>
      <c r="M90" s="129"/>
      <c r="N90" s="125"/>
      <c r="O90" s="126"/>
      <c r="P90" s="125"/>
      <c r="Q90" s="125"/>
      <c r="R90" s="125"/>
      <c r="S90" s="125"/>
      <c r="T90" s="125"/>
      <c r="U90" s="13"/>
      <c r="V90" s="44"/>
      <c r="W90" s="44"/>
      <c r="X90" s="44"/>
      <c r="Y90" s="44"/>
      <c r="Z90" s="125"/>
      <c r="AA90" s="125"/>
      <c r="AB90" s="125"/>
      <c r="AC90" s="128"/>
      <c r="AD90" s="121"/>
      <c r="AE90" s="130"/>
      <c r="AF90" s="125"/>
    </row>
    <row r="91" spans="1:32" ht="15">
      <c r="A91" s="54" t="s">
        <v>187</v>
      </c>
      <c r="B91" s="54"/>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row>
    <row r="92" spans="1:32" ht="25.5">
      <c r="A92" s="16" t="s">
        <v>329</v>
      </c>
      <c r="B92" s="16" t="s">
        <v>159</v>
      </c>
      <c r="C92" s="17"/>
      <c r="D92" s="18">
        <v>0.75</v>
      </c>
      <c r="E92" s="46">
        <v>0.18</v>
      </c>
      <c r="F92" s="17" t="s">
        <v>169</v>
      </c>
      <c r="G92" s="17" t="s">
        <v>129</v>
      </c>
      <c r="H92" s="18">
        <v>0</v>
      </c>
      <c r="I92" s="17"/>
      <c r="J92" s="18">
        <v>0</v>
      </c>
      <c r="K92" s="37">
        <v>0</v>
      </c>
      <c r="L92" s="18">
        <f>SUM(D92)</f>
        <v>0.75</v>
      </c>
      <c r="M92" s="47">
        <f aca="true" t="shared" si="46" ref="M92:M99">SUM(E92-K92)</f>
        <v>0.18</v>
      </c>
      <c r="N92" s="17"/>
      <c r="O92" s="131">
        <v>0</v>
      </c>
      <c r="P92" s="18">
        <f aca="true" t="shared" si="47" ref="P92:P99">SUM(O92*84)*(1.25)/1000000</f>
        <v>0</v>
      </c>
      <c r="Q92" s="18">
        <f aca="true" t="shared" si="48" ref="Q92:Q99">SUM(O92*84)/1000000</f>
        <v>0</v>
      </c>
      <c r="R92" s="18">
        <f>SUM(E92*0.06)</f>
        <v>0.010799999999999999</v>
      </c>
      <c r="S92" s="18">
        <v>0</v>
      </c>
      <c r="T92" s="18">
        <f aca="true" t="shared" si="49" ref="T92:T97">SUM(D92+P92)-(R92+S92)</f>
        <v>0.7392</v>
      </c>
      <c r="U92" s="46">
        <f aca="true" t="shared" si="50" ref="U92:U97">SUM(E92+Q92)-(R92+S92)</f>
        <v>0.1692</v>
      </c>
      <c r="V92" s="50" t="s">
        <v>339</v>
      </c>
      <c r="W92" s="50" t="s">
        <v>343</v>
      </c>
      <c r="X92" s="50">
        <f aca="true" t="shared" si="51" ref="X92:X99">SUM(U92)</f>
        <v>0.1692</v>
      </c>
      <c r="Y92" s="50"/>
      <c r="Z92" s="18"/>
      <c r="AA92" s="18">
        <f aca="true" t="shared" si="52" ref="AA92:AA97">K92+Z92</f>
        <v>0</v>
      </c>
      <c r="AB92" s="18">
        <f aca="true" t="shared" si="53" ref="AB92:AB99">SUM(U92)</f>
        <v>0.1692</v>
      </c>
      <c r="AC92" s="37">
        <f>SUM(U92*0.7)</f>
        <v>0.11843999999999999</v>
      </c>
      <c r="AD92" s="62">
        <f aca="true" t="shared" si="54" ref="AD92:AD97">SUM(AC92-K92)</f>
        <v>0.11843999999999999</v>
      </c>
      <c r="AE92" s="58">
        <f>SUM(AD92*0.7)</f>
        <v>0.08290799999999998</v>
      </c>
      <c r="AF92" s="17">
        <v>1</v>
      </c>
    </row>
    <row r="93" spans="1:32" ht="25.5">
      <c r="A93" s="16" t="s">
        <v>330</v>
      </c>
      <c r="B93" s="16" t="s">
        <v>159</v>
      </c>
      <c r="C93" s="17"/>
      <c r="D93" s="18">
        <v>0.75</v>
      </c>
      <c r="E93" s="46">
        <v>0.3</v>
      </c>
      <c r="F93" s="17" t="s">
        <v>169</v>
      </c>
      <c r="G93" s="17" t="s">
        <v>129</v>
      </c>
      <c r="H93" s="18">
        <v>0</v>
      </c>
      <c r="I93" s="17"/>
      <c r="J93" s="18">
        <v>0</v>
      </c>
      <c r="K93" s="37">
        <v>0</v>
      </c>
      <c r="L93" s="18">
        <f aca="true" t="shared" si="55" ref="L93:L99">SUM(D93)</f>
        <v>0.75</v>
      </c>
      <c r="M93" s="47">
        <f t="shared" si="46"/>
        <v>0.3</v>
      </c>
      <c r="N93" s="17"/>
      <c r="O93" s="131">
        <v>0</v>
      </c>
      <c r="P93" s="18">
        <f t="shared" si="47"/>
        <v>0</v>
      </c>
      <c r="Q93" s="18">
        <f t="shared" si="48"/>
        <v>0</v>
      </c>
      <c r="R93" s="18">
        <f>SUM(E93*0.06)</f>
        <v>0.018</v>
      </c>
      <c r="S93" s="18">
        <v>0</v>
      </c>
      <c r="T93" s="18">
        <f t="shared" si="49"/>
        <v>0.732</v>
      </c>
      <c r="U93" s="46">
        <f t="shared" si="50"/>
        <v>0.282</v>
      </c>
      <c r="V93" s="50" t="s">
        <v>339</v>
      </c>
      <c r="W93" s="50" t="s">
        <v>343</v>
      </c>
      <c r="X93" s="50">
        <f t="shared" si="51"/>
        <v>0.282</v>
      </c>
      <c r="Y93" s="50"/>
      <c r="Z93" s="18"/>
      <c r="AA93" s="18">
        <f t="shared" si="52"/>
        <v>0</v>
      </c>
      <c r="AB93" s="18">
        <f t="shared" si="53"/>
        <v>0.282</v>
      </c>
      <c r="AC93" s="37">
        <f aca="true" t="shared" si="56" ref="AC93:AC98">SUM(U93*0.7)</f>
        <v>0.19739999999999996</v>
      </c>
      <c r="AD93" s="62">
        <f t="shared" si="54"/>
        <v>0.19739999999999996</v>
      </c>
      <c r="AE93" s="58">
        <f aca="true" t="shared" si="57" ref="AE93:AE99">SUM(AD93*0.7)</f>
        <v>0.13817999999999997</v>
      </c>
      <c r="AF93" s="17">
        <v>1</v>
      </c>
    </row>
    <row r="94" spans="1:32" ht="12.75">
      <c r="A94" s="16" t="s">
        <v>305</v>
      </c>
      <c r="B94" s="16" t="s">
        <v>159</v>
      </c>
      <c r="C94" s="17"/>
      <c r="D94" s="18">
        <v>0.75</v>
      </c>
      <c r="E94" s="46">
        <v>0.67</v>
      </c>
      <c r="F94" s="17" t="s">
        <v>169</v>
      </c>
      <c r="G94" s="17" t="s">
        <v>129</v>
      </c>
      <c r="H94" s="18">
        <v>0</v>
      </c>
      <c r="I94" s="17"/>
      <c r="J94" s="18">
        <v>0</v>
      </c>
      <c r="K94" s="37">
        <v>0</v>
      </c>
      <c r="L94" s="18">
        <f t="shared" si="55"/>
        <v>0.75</v>
      </c>
      <c r="M94" s="47">
        <f t="shared" si="46"/>
        <v>0.67</v>
      </c>
      <c r="N94" s="17"/>
      <c r="O94" s="131">
        <v>19639</v>
      </c>
      <c r="P94" s="18">
        <f t="shared" si="47"/>
        <v>2.062095</v>
      </c>
      <c r="Q94" s="18">
        <f t="shared" si="48"/>
        <v>1.649676</v>
      </c>
      <c r="R94" s="18">
        <f>SUM(E94*0.06)+0.04</f>
        <v>0.0802</v>
      </c>
      <c r="S94" s="18">
        <v>0.13</v>
      </c>
      <c r="T94" s="18">
        <f t="shared" si="49"/>
        <v>2.601895</v>
      </c>
      <c r="U94" s="46">
        <f t="shared" si="50"/>
        <v>2.109476</v>
      </c>
      <c r="V94" s="50" t="s">
        <v>131</v>
      </c>
      <c r="W94" s="50" t="s">
        <v>144</v>
      </c>
      <c r="X94" s="50">
        <f t="shared" si="51"/>
        <v>2.109476</v>
      </c>
      <c r="Y94" s="50"/>
      <c r="Z94" s="18"/>
      <c r="AA94" s="18">
        <f t="shared" si="52"/>
        <v>0</v>
      </c>
      <c r="AB94" s="18">
        <f t="shared" si="53"/>
        <v>2.109476</v>
      </c>
      <c r="AC94" s="37">
        <f t="shared" si="56"/>
        <v>1.4766331999999998</v>
      </c>
      <c r="AD94" s="62">
        <f t="shared" si="54"/>
        <v>1.4766331999999998</v>
      </c>
      <c r="AE94" s="58">
        <f t="shared" si="57"/>
        <v>1.0336432399999997</v>
      </c>
      <c r="AF94" s="17">
        <v>1</v>
      </c>
    </row>
    <row r="95" spans="1:32" ht="12.75">
      <c r="A95" s="16" t="s">
        <v>189</v>
      </c>
      <c r="B95" s="16" t="s">
        <v>159</v>
      </c>
      <c r="C95" s="17"/>
      <c r="D95" s="18">
        <v>0.75</v>
      </c>
      <c r="E95" s="46">
        <v>0.25</v>
      </c>
      <c r="F95" s="17" t="s">
        <v>169</v>
      </c>
      <c r="G95" s="17" t="s">
        <v>129</v>
      </c>
      <c r="H95" s="18">
        <v>0</v>
      </c>
      <c r="I95" s="17"/>
      <c r="J95" s="18">
        <v>0</v>
      </c>
      <c r="K95" s="37">
        <v>0</v>
      </c>
      <c r="L95" s="18">
        <f t="shared" si="55"/>
        <v>0.75</v>
      </c>
      <c r="M95" s="47">
        <f t="shared" si="46"/>
        <v>0.25</v>
      </c>
      <c r="N95" s="17"/>
      <c r="O95" s="131">
        <v>3120</v>
      </c>
      <c r="P95" s="18">
        <f t="shared" si="47"/>
        <v>0.3276</v>
      </c>
      <c r="Q95" s="18">
        <f t="shared" si="48"/>
        <v>0.26208</v>
      </c>
      <c r="R95" s="18">
        <f>SUM(E95*0.06)+0.09</f>
        <v>0.105</v>
      </c>
      <c r="S95" s="18">
        <v>0.06</v>
      </c>
      <c r="T95" s="18">
        <f t="shared" si="49"/>
        <v>0.9125999999999999</v>
      </c>
      <c r="U95" s="46">
        <f t="shared" si="50"/>
        <v>0.34708</v>
      </c>
      <c r="V95" s="50" t="s">
        <v>131</v>
      </c>
      <c r="W95" s="50" t="s">
        <v>144</v>
      </c>
      <c r="X95" s="50">
        <f t="shared" si="51"/>
        <v>0.34708</v>
      </c>
      <c r="Y95" s="50"/>
      <c r="Z95" s="18"/>
      <c r="AA95" s="18">
        <f t="shared" si="52"/>
        <v>0</v>
      </c>
      <c r="AB95" s="18">
        <f t="shared" si="53"/>
        <v>0.34708</v>
      </c>
      <c r="AC95" s="37">
        <f t="shared" si="56"/>
        <v>0.24295599999999998</v>
      </c>
      <c r="AD95" s="62">
        <f t="shared" si="54"/>
        <v>0.24295599999999998</v>
      </c>
      <c r="AE95" s="58">
        <f t="shared" si="57"/>
        <v>0.17006919999999998</v>
      </c>
      <c r="AF95" s="17" t="s">
        <v>280</v>
      </c>
    </row>
    <row r="96" spans="1:32" ht="25.5">
      <c r="A96" s="16" t="s">
        <v>421</v>
      </c>
      <c r="B96" s="16" t="s">
        <v>159</v>
      </c>
      <c r="C96" s="17"/>
      <c r="D96" s="18">
        <v>2.5</v>
      </c>
      <c r="E96" s="46">
        <v>1.91</v>
      </c>
      <c r="F96" s="17" t="s">
        <v>128</v>
      </c>
      <c r="G96" s="17" t="s">
        <v>127</v>
      </c>
      <c r="H96" s="18">
        <v>0</v>
      </c>
      <c r="I96" s="17"/>
      <c r="J96" s="18">
        <v>2.8</v>
      </c>
      <c r="K96" s="37">
        <v>1.28</v>
      </c>
      <c r="L96" s="18">
        <f t="shared" si="55"/>
        <v>2.5</v>
      </c>
      <c r="M96" s="47">
        <f t="shared" si="46"/>
        <v>0.6299999999999999</v>
      </c>
      <c r="N96" s="17" t="s">
        <v>108</v>
      </c>
      <c r="O96" s="131">
        <v>0</v>
      </c>
      <c r="P96" s="18">
        <f t="shared" si="47"/>
        <v>0</v>
      </c>
      <c r="Q96" s="18">
        <f t="shared" si="48"/>
        <v>0</v>
      </c>
      <c r="R96" s="18">
        <f>SUM(E96*0.06)</f>
        <v>0.1146</v>
      </c>
      <c r="S96" s="18">
        <v>0</v>
      </c>
      <c r="T96" s="18">
        <f t="shared" si="49"/>
        <v>2.3854</v>
      </c>
      <c r="U96" s="46">
        <f t="shared" si="50"/>
        <v>1.7953999999999999</v>
      </c>
      <c r="V96" s="50" t="s">
        <v>339</v>
      </c>
      <c r="W96" s="50" t="s">
        <v>344</v>
      </c>
      <c r="X96" s="50">
        <f t="shared" si="51"/>
        <v>1.7953999999999999</v>
      </c>
      <c r="Y96" s="50"/>
      <c r="Z96" s="18"/>
      <c r="AA96" s="18">
        <f t="shared" si="52"/>
        <v>1.28</v>
      </c>
      <c r="AB96" s="18">
        <f t="shared" si="53"/>
        <v>1.7953999999999999</v>
      </c>
      <c r="AC96" s="37">
        <f t="shared" si="56"/>
        <v>1.2567799999999998</v>
      </c>
      <c r="AD96" s="62">
        <f t="shared" si="54"/>
        <v>-0.02322000000000024</v>
      </c>
      <c r="AE96" s="58">
        <f t="shared" si="57"/>
        <v>-0.016254000000000168</v>
      </c>
      <c r="AF96" s="17">
        <v>1</v>
      </c>
    </row>
    <row r="97" spans="1:32" ht="12.75">
      <c r="A97" s="16" t="s">
        <v>190</v>
      </c>
      <c r="B97" s="16" t="s">
        <v>159</v>
      </c>
      <c r="C97" s="17"/>
      <c r="D97" s="18">
        <v>1</v>
      </c>
      <c r="E97" s="46">
        <v>0.5</v>
      </c>
      <c r="F97" s="17" t="s">
        <v>128</v>
      </c>
      <c r="G97" s="17" t="s">
        <v>129</v>
      </c>
      <c r="H97" s="18">
        <v>0</v>
      </c>
      <c r="I97" s="17"/>
      <c r="J97" s="18">
        <v>0</v>
      </c>
      <c r="K97" s="37">
        <v>0</v>
      </c>
      <c r="L97" s="18">
        <f t="shared" si="55"/>
        <v>1</v>
      </c>
      <c r="M97" s="47">
        <f t="shared" si="46"/>
        <v>0.5</v>
      </c>
      <c r="N97" s="17"/>
      <c r="O97" s="131">
        <v>14821</v>
      </c>
      <c r="P97" s="18">
        <f t="shared" si="47"/>
        <v>1.556205</v>
      </c>
      <c r="Q97" s="18">
        <f t="shared" si="48"/>
        <v>1.244964</v>
      </c>
      <c r="R97" s="18">
        <f>SUM(E97*0.06)+0.04</f>
        <v>0.07</v>
      </c>
      <c r="S97" s="18">
        <v>0.06</v>
      </c>
      <c r="T97" s="18">
        <f t="shared" si="49"/>
        <v>2.4262050000000004</v>
      </c>
      <c r="U97" s="46">
        <f t="shared" si="50"/>
        <v>1.614964</v>
      </c>
      <c r="V97" s="50" t="s">
        <v>131</v>
      </c>
      <c r="W97" s="50" t="s">
        <v>144</v>
      </c>
      <c r="X97" s="50">
        <f t="shared" si="51"/>
        <v>1.614964</v>
      </c>
      <c r="Y97" s="50"/>
      <c r="Z97" s="18"/>
      <c r="AA97" s="18">
        <f t="shared" si="52"/>
        <v>0</v>
      </c>
      <c r="AB97" s="18">
        <f t="shared" si="53"/>
        <v>1.614964</v>
      </c>
      <c r="AC97" s="37">
        <f t="shared" si="56"/>
        <v>1.1304748</v>
      </c>
      <c r="AD97" s="62">
        <f t="shared" si="54"/>
        <v>1.1304748</v>
      </c>
      <c r="AE97" s="58">
        <f t="shared" si="57"/>
        <v>0.79133236</v>
      </c>
      <c r="AF97" s="17">
        <v>1</v>
      </c>
    </row>
    <row r="98" spans="1:32" ht="12.75">
      <c r="A98" s="16" t="s">
        <v>331</v>
      </c>
      <c r="B98" s="16" t="s">
        <v>159</v>
      </c>
      <c r="C98" s="17"/>
      <c r="D98" s="18">
        <v>0.25</v>
      </c>
      <c r="E98" s="46">
        <v>0.07</v>
      </c>
      <c r="F98" s="17" t="s">
        <v>169</v>
      </c>
      <c r="G98" s="17" t="s">
        <v>129</v>
      </c>
      <c r="H98" s="18">
        <v>0</v>
      </c>
      <c r="I98" s="17"/>
      <c r="J98" s="18"/>
      <c r="K98" s="37"/>
      <c r="L98" s="18">
        <f t="shared" si="55"/>
        <v>0.25</v>
      </c>
      <c r="M98" s="47"/>
      <c r="N98" s="17"/>
      <c r="O98" s="131"/>
      <c r="P98" s="18"/>
      <c r="Q98" s="18"/>
      <c r="R98" s="18">
        <f>SUM(E98*0.06)</f>
        <v>0.004200000000000001</v>
      </c>
      <c r="S98" s="18"/>
      <c r="T98" s="18"/>
      <c r="U98" s="46"/>
      <c r="V98" s="50" t="s">
        <v>339</v>
      </c>
      <c r="W98" s="50" t="s">
        <v>343</v>
      </c>
      <c r="X98" s="50">
        <f t="shared" si="51"/>
        <v>0</v>
      </c>
      <c r="Y98" s="50"/>
      <c r="Z98" s="18"/>
      <c r="AA98" s="18"/>
      <c r="AB98" s="18"/>
      <c r="AC98" s="37">
        <f t="shared" si="56"/>
        <v>0</v>
      </c>
      <c r="AD98" s="62"/>
      <c r="AE98" s="58">
        <f t="shared" si="57"/>
        <v>0</v>
      </c>
      <c r="AF98" s="17"/>
    </row>
    <row r="99" spans="1:32" ht="12.75">
      <c r="A99" s="16" t="s">
        <v>191</v>
      </c>
      <c r="B99" s="16" t="s">
        <v>159</v>
      </c>
      <c r="C99" s="17"/>
      <c r="D99" s="18">
        <v>1.9</v>
      </c>
      <c r="E99" s="46">
        <v>0.85</v>
      </c>
      <c r="F99" s="17" t="s">
        <v>128</v>
      </c>
      <c r="G99" s="17" t="s">
        <v>127</v>
      </c>
      <c r="H99" s="18">
        <v>0</v>
      </c>
      <c r="I99" s="17"/>
      <c r="J99" s="18">
        <v>8</v>
      </c>
      <c r="K99" s="37">
        <v>0.85</v>
      </c>
      <c r="L99" s="18">
        <f t="shared" si="55"/>
        <v>1.9</v>
      </c>
      <c r="M99" s="47">
        <f t="shared" si="46"/>
        <v>0</v>
      </c>
      <c r="N99" s="17" t="s">
        <v>106</v>
      </c>
      <c r="O99" s="131">
        <v>6930</v>
      </c>
      <c r="P99" s="18">
        <f t="shared" si="47"/>
        <v>0.72765</v>
      </c>
      <c r="Q99" s="18">
        <f t="shared" si="48"/>
        <v>0.58212</v>
      </c>
      <c r="R99" s="18">
        <f>SUM(E99*0.06)</f>
        <v>0.051</v>
      </c>
      <c r="S99" s="17"/>
      <c r="T99" s="18">
        <f>SUM(D99+P99)-(R99+S99)</f>
        <v>2.57665</v>
      </c>
      <c r="U99" s="46">
        <f>SUM(E99+Q99)-(R99+S99)</f>
        <v>1.38112</v>
      </c>
      <c r="V99" s="50" t="s">
        <v>131</v>
      </c>
      <c r="W99" s="50" t="s">
        <v>144</v>
      </c>
      <c r="X99" s="50">
        <f t="shared" si="51"/>
        <v>1.38112</v>
      </c>
      <c r="Y99" s="50"/>
      <c r="Z99" s="18">
        <v>0.64</v>
      </c>
      <c r="AA99" s="18">
        <f>K99+Z99</f>
        <v>1.49</v>
      </c>
      <c r="AB99" s="18">
        <f t="shared" si="53"/>
        <v>1.38112</v>
      </c>
      <c r="AC99" s="37">
        <f>SUM(U99*1)</f>
        <v>1.38112</v>
      </c>
      <c r="AD99" s="62">
        <f>SUM(AC99-K99)</f>
        <v>0.5311199999999999</v>
      </c>
      <c r="AE99" s="58">
        <f t="shared" si="57"/>
        <v>0.37178399999999995</v>
      </c>
      <c r="AF99" s="17" t="s">
        <v>369</v>
      </c>
    </row>
    <row r="100" spans="1:32" ht="15">
      <c r="A100" s="14" t="s">
        <v>188</v>
      </c>
      <c r="B100" s="14"/>
      <c r="C100" s="15"/>
      <c r="D100" s="51"/>
      <c r="E100" s="51"/>
      <c r="F100" s="15"/>
      <c r="G100" s="15"/>
      <c r="H100" s="51"/>
      <c r="I100" s="15"/>
      <c r="J100" s="51"/>
      <c r="K100" s="51"/>
      <c r="L100" s="51"/>
      <c r="M100" s="52"/>
      <c r="N100" s="15"/>
      <c r="O100" s="15"/>
      <c r="P100" s="15"/>
      <c r="Q100" s="15"/>
      <c r="R100" s="15"/>
      <c r="S100" s="15"/>
      <c r="T100" s="15"/>
      <c r="U100" s="53"/>
      <c r="V100" s="53"/>
      <c r="W100" s="53"/>
      <c r="X100" s="53"/>
      <c r="Y100" s="53"/>
      <c r="Z100" s="15"/>
      <c r="AA100" s="52"/>
      <c r="AB100" s="15"/>
      <c r="AC100" s="15"/>
      <c r="AD100" s="15"/>
      <c r="AE100" s="15"/>
      <c r="AF100" s="15"/>
    </row>
    <row r="101" spans="1:32" ht="15">
      <c r="A101" s="16" t="s">
        <v>13</v>
      </c>
      <c r="B101" s="16"/>
      <c r="C101" s="17">
        <v>0</v>
      </c>
      <c r="D101" s="18">
        <v>0</v>
      </c>
      <c r="E101" s="46">
        <v>0</v>
      </c>
      <c r="F101" s="17"/>
      <c r="G101" s="17"/>
      <c r="H101" s="18">
        <v>0</v>
      </c>
      <c r="I101" s="17"/>
      <c r="J101" s="18">
        <v>0</v>
      </c>
      <c r="K101" s="37">
        <v>0</v>
      </c>
      <c r="L101" s="18">
        <v>0</v>
      </c>
      <c r="M101" s="47">
        <f>SUM(E101-K101)</f>
        <v>0</v>
      </c>
      <c r="N101" s="17"/>
      <c r="O101" s="131">
        <v>0</v>
      </c>
      <c r="P101" s="18">
        <v>0</v>
      </c>
      <c r="Q101" s="18">
        <v>0</v>
      </c>
      <c r="R101" s="18">
        <v>0</v>
      </c>
      <c r="S101" s="18">
        <v>0</v>
      </c>
      <c r="T101" s="18">
        <v>0</v>
      </c>
      <c r="U101" s="46">
        <v>0</v>
      </c>
      <c r="V101" s="43"/>
      <c r="W101" s="43"/>
      <c r="X101" s="18">
        <v>0</v>
      </c>
      <c r="Y101" s="43"/>
      <c r="Z101" s="18">
        <v>0</v>
      </c>
      <c r="AA101" s="18">
        <f>K101+Z101</f>
        <v>0</v>
      </c>
      <c r="AB101" s="18">
        <v>0</v>
      </c>
      <c r="AC101" s="37">
        <v>0</v>
      </c>
      <c r="AD101" s="62">
        <v>0</v>
      </c>
      <c r="AE101" s="58">
        <v>0</v>
      </c>
      <c r="AF101" s="20"/>
    </row>
    <row r="102" spans="1:32" ht="15.75" thickBot="1">
      <c r="A102" s="22" t="s">
        <v>14</v>
      </c>
      <c r="B102" s="22"/>
      <c r="C102" s="23">
        <v>8</v>
      </c>
      <c r="D102" s="24">
        <f>SUM(D92:D99)</f>
        <v>8.65</v>
      </c>
      <c r="E102" s="132">
        <f>SUM(E92:E99)</f>
        <v>4.7299999999999995</v>
      </c>
      <c r="F102" s="23"/>
      <c r="G102" s="23"/>
      <c r="H102" s="24">
        <f>SUM(H92:H99)</f>
        <v>0</v>
      </c>
      <c r="I102" s="23"/>
      <c r="J102" s="24">
        <f>SUM(J92:J99)</f>
        <v>10.8</v>
      </c>
      <c r="K102" s="133">
        <f>SUM(K92:K99)</f>
        <v>2.13</v>
      </c>
      <c r="L102" s="24">
        <f>SUM(L92:L99)</f>
        <v>8.65</v>
      </c>
      <c r="M102" s="47">
        <f>SUM(M92:M99)</f>
        <v>2.53</v>
      </c>
      <c r="N102" s="23"/>
      <c r="O102" s="69">
        <f aca="true" t="shared" si="58" ref="O102:U102">SUM(O92:O99)</f>
        <v>44510</v>
      </c>
      <c r="P102" s="24">
        <f t="shared" si="58"/>
        <v>4.67355</v>
      </c>
      <c r="Q102" s="24">
        <f t="shared" si="58"/>
        <v>3.7388399999999997</v>
      </c>
      <c r="R102" s="24">
        <f t="shared" si="58"/>
        <v>0.4537999999999999</v>
      </c>
      <c r="S102" s="24">
        <f t="shared" si="58"/>
        <v>0.25</v>
      </c>
      <c r="T102" s="24">
        <f t="shared" si="58"/>
        <v>12.37395</v>
      </c>
      <c r="U102" s="132">
        <f t="shared" si="58"/>
        <v>7.6992400000000005</v>
      </c>
      <c r="V102" s="45"/>
      <c r="W102" s="45"/>
      <c r="X102" s="24">
        <f>SUM(X92:X99)</f>
        <v>7.6992400000000005</v>
      </c>
      <c r="Y102" s="45"/>
      <c r="Z102" s="24">
        <f aca="true" t="shared" si="59" ref="Z102:AE102">SUM(Z92:Z99)</f>
        <v>0.64</v>
      </c>
      <c r="AA102" s="24">
        <f t="shared" si="59"/>
        <v>2.77</v>
      </c>
      <c r="AB102" s="24">
        <f t="shared" si="59"/>
        <v>7.6992400000000005</v>
      </c>
      <c r="AC102" s="133">
        <f t="shared" si="59"/>
        <v>5.8038039999999995</v>
      </c>
      <c r="AD102" s="117">
        <f t="shared" si="59"/>
        <v>3.6738039999999996</v>
      </c>
      <c r="AE102" s="59">
        <f t="shared" si="59"/>
        <v>2.5716627999999995</v>
      </c>
      <c r="AF102" s="25"/>
    </row>
    <row r="103" spans="1:32" ht="13.5" thickBot="1">
      <c r="A103" s="26" t="s">
        <v>15</v>
      </c>
      <c r="B103" s="65"/>
      <c r="C103" s="27">
        <f>SUM(C101,C102)</f>
        <v>8</v>
      </c>
      <c r="D103" s="33">
        <f>SUM(D101:D102)</f>
        <v>8.65</v>
      </c>
      <c r="E103" s="134">
        <f>SUM(E101:E102)</f>
        <v>4.7299999999999995</v>
      </c>
      <c r="F103" s="27"/>
      <c r="G103" s="27"/>
      <c r="H103" s="33">
        <f>SUM(H101:H102)</f>
        <v>0</v>
      </c>
      <c r="I103" s="135">
        <f>(H103/E103)</f>
        <v>0</v>
      </c>
      <c r="J103" s="33">
        <f>SUM(J101:J102)</f>
        <v>10.8</v>
      </c>
      <c r="K103" s="136">
        <f>SUM(K101:K102)</f>
        <v>2.13</v>
      </c>
      <c r="L103" s="33">
        <f>SUM(L101:L102)</f>
        <v>8.65</v>
      </c>
      <c r="M103" s="48">
        <f>SUM(M101:M102)</f>
        <v>2.53</v>
      </c>
      <c r="N103" s="33"/>
      <c r="O103" s="138">
        <f aca="true" t="shared" si="60" ref="O103:U103">SUM(O101:O102)</f>
        <v>44510</v>
      </c>
      <c r="P103" s="33">
        <f t="shared" si="60"/>
        <v>4.67355</v>
      </c>
      <c r="Q103" s="33">
        <f t="shared" si="60"/>
        <v>3.7388399999999997</v>
      </c>
      <c r="R103" s="33">
        <f t="shared" si="60"/>
        <v>0.4537999999999999</v>
      </c>
      <c r="S103" s="33">
        <f t="shared" si="60"/>
        <v>0.25</v>
      </c>
      <c r="T103" s="33">
        <f t="shared" si="60"/>
        <v>12.37395</v>
      </c>
      <c r="U103" s="134">
        <f t="shared" si="60"/>
        <v>7.6992400000000005</v>
      </c>
      <c r="V103" s="33"/>
      <c r="W103" s="33"/>
      <c r="X103" s="33">
        <f>SUM(X101:X102)</f>
        <v>7.6992400000000005</v>
      </c>
      <c r="Y103" s="135">
        <f>SUM(X103/U103)</f>
        <v>1</v>
      </c>
      <c r="Z103" s="33">
        <f aca="true" t="shared" si="61" ref="Z103:AE103">SUM(Z101:Z102)</f>
        <v>0.64</v>
      </c>
      <c r="AA103" s="33">
        <f t="shared" si="61"/>
        <v>2.77</v>
      </c>
      <c r="AB103" s="33">
        <f t="shared" si="61"/>
        <v>7.6992400000000005</v>
      </c>
      <c r="AC103" s="136">
        <f t="shared" si="61"/>
        <v>5.8038039999999995</v>
      </c>
      <c r="AD103" s="118">
        <f t="shared" si="61"/>
        <v>3.6738039999999996</v>
      </c>
      <c r="AE103" s="60">
        <f t="shared" si="61"/>
        <v>2.5716627999999995</v>
      </c>
      <c r="AF103" s="34"/>
    </row>
    <row r="104" spans="1:32" ht="14.25">
      <c r="A104" s="77" t="s">
        <v>182</v>
      </c>
      <c r="B104" s="77"/>
      <c r="C104" s="76"/>
      <c r="D104" s="75"/>
      <c r="E104" s="75"/>
      <c r="F104" s="76"/>
      <c r="G104" s="76"/>
      <c r="H104" s="76"/>
      <c r="I104" s="76"/>
      <c r="J104" s="75"/>
      <c r="K104" s="76"/>
      <c r="L104" s="75"/>
      <c r="M104" s="76"/>
      <c r="N104" s="76"/>
      <c r="O104" s="73">
        <v>85000</v>
      </c>
      <c r="P104" s="75"/>
      <c r="Q104" s="75"/>
      <c r="R104" s="75"/>
      <c r="S104" s="75"/>
      <c r="T104" s="75"/>
      <c r="U104" s="75"/>
      <c r="V104" s="75"/>
      <c r="W104" s="75"/>
      <c r="X104" s="75"/>
      <c r="Y104" s="75"/>
      <c r="Z104" s="75"/>
      <c r="AA104" s="75"/>
      <c r="AB104" s="75"/>
      <c r="AC104" s="75"/>
      <c r="AD104" s="75"/>
      <c r="AE104" s="75"/>
      <c r="AF104" s="5" t="s">
        <v>265</v>
      </c>
    </row>
    <row r="105" spans="1:32" ht="12.75">
      <c r="A105" s="77" t="s">
        <v>173</v>
      </c>
      <c r="B105" s="77"/>
      <c r="C105" s="76"/>
      <c r="D105" s="75"/>
      <c r="E105" s="75"/>
      <c r="F105" s="76"/>
      <c r="G105" s="76"/>
      <c r="H105" s="76"/>
      <c r="I105" s="76"/>
      <c r="J105" s="75"/>
      <c r="K105" s="76"/>
      <c r="L105" s="75"/>
      <c r="M105" s="76"/>
      <c r="N105" s="76"/>
      <c r="O105" s="74">
        <f>SUM(O103/O104)</f>
        <v>0.5236470588235295</v>
      </c>
      <c r="P105" s="75"/>
      <c r="Q105" s="75"/>
      <c r="R105" s="75"/>
      <c r="S105" s="75"/>
      <c r="T105" s="75"/>
      <c r="U105" s="75"/>
      <c r="V105" s="75"/>
      <c r="W105" s="75"/>
      <c r="X105" s="75"/>
      <c r="Y105" s="75"/>
      <c r="Z105" s="75"/>
      <c r="AA105" s="75"/>
      <c r="AB105" s="75"/>
      <c r="AC105" s="75"/>
      <c r="AD105" s="75"/>
      <c r="AE105" s="75"/>
      <c r="AF105" s="5"/>
    </row>
    <row r="106" spans="1:32" ht="12.75">
      <c r="A106" s="112"/>
      <c r="B106" s="77"/>
      <c r="C106" s="76"/>
      <c r="D106" s="75"/>
      <c r="E106" s="75"/>
      <c r="F106" s="76"/>
      <c r="G106" s="76"/>
      <c r="H106" s="76"/>
      <c r="I106" s="76"/>
      <c r="J106" s="75"/>
      <c r="K106" s="76"/>
      <c r="L106" s="75"/>
      <c r="M106" s="76"/>
      <c r="N106" s="76"/>
      <c r="O106" s="83"/>
      <c r="P106" s="75"/>
      <c r="Q106" s="75"/>
      <c r="R106" s="75"/>
      <c r="S106" s="75"/>
      <c r="T106" s="75"/>
      <c r="U106" s="75"/>
      <c r="V106" s="75"/>
      <c r="W106" s="75"/>
      <c r="X106" s="75"/>
      <c r="Y106" s="75"/>
      <c r="Z106" s="75"/>
      <c r="AA106" s="75"/>
      <c r="AB106" s="75"/>
      <c r="AC106" s="75"/>
      <c r="AD106" s="75"/>
      <c r="AE106" s="75"/>
      <c r="AF106" s="5"/>
    </row>
    <row r="107" spans="1:32" ht="12.75">
      <c r="A107" s="194" t="s">
        <v>333</v>
      </c>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row>
    <row r="108" spans="1:32" ht="12.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row>
    <row r="109" spans="1:32" ht="12.75">
      <c r="A109" s="77"/>
      <c r="B109" s="77"/>
      <c r="C109" s="76"/>
      <c r="D109" s="75"/>
      <c r="E109" s="75"/>
      <c r="F109" s="76"/>
      <c r="G109" s="76"/>
      <c r="H109" s="76"/>
      <c r="I109" s="76"/>
      <c r="J109" s="75"/>
      <c r="K109" s="76"/>
      <c r="L109" s="75"/>
      <c r="M109" s="76"/>
      <c r="N109" s="76"/>
      <c r="O109" s="83"/>
      <c r="P109" s="75"/>
      <c r="Q109" s="75"/>
      <c r="R109" s="75"/>
      <c r="S109" s="75"/>
      <c r="T109" s="75"/>
      <c r="U109" s="75"/>
      <c r="V109" s="75"/>
      <c r="W109" s="75"/>
      <c r="X109" s="75"/>
      <c r="Y109" s="75"/>
      <c r="Z109" s="75"/>
      <c r="AA109" s="75"/>
      <c r="AB109" s="75"/>
      <c r="AC109" s="75"/>
      <c r="AD109" s="75"/>
      <c r="AE109" s="75"/>
      <c r="AF109" s="5"/>
    </row>
    <row r="110" spans="1:32" ht="12.75">
      <c r="A110" s="140"/>
      <c r="B110" s="77"/>
      <c r="C110" s="76"/>
      <c r="D110" s="75"/>
      <c r="E110" s="75"/>
      <c r="F110" s="76"/>
      <c r="G110" s="76"/>
      <c r="H110" s="76"/>
      <c r="I110" s="76"/>
      <c r="J110" s="75"/>
      <c r="K110" s="76"/>
      <c r="L110" s="75"/>
      <c r="M110" s="76"/>
      <c r="N110" s="76"/>
      <c r="O110" s="83"/>
      <c r="P110" s="75"/>
      <c r="Q110" s="75"/>
      <c r="R110" s="75"/>
      <c r="S110" s="75"/>
      <c r="T110" s="75"/>
      <c r="U110" s="75"/>
      <c r="V110" s="75"/>
      <c r="W110" s="75"/>
      <c r="X110" s="75"/>
      <c r="Y110" s="75"/>
      <c r="Z110" s="75"/>
      <c r="AA110" s="75"/>
      <c r="AB110" s="75"/>
      <c r="AC110" s="75"/>
      <c r="AD110" s="75"/>
      <c r="AE110" s="75"/>
      <c r="AF110" s="5"/>
    </row>
    <row r="111" spans="1:32" ht="27.75" customHeight="1">
      <c r="A111" s="206"/>
      <c r="B111" s="64"/>
      <c r="C111" s="10"/>
      <c r="D111" s="198" t="s">
        <v>285</v>
      </c>
      <c r="E111" s="198"/>
      <c r="F111" s="199" t="s">
        <v>286</v>
      </c>
      <c r="G111" s="199"/>
      <c r="H111" s="113" t="s">
        <v>131</v>
      </c>
      <c r="I111" s="109">
        <v>2010</v>
      </c>
      <c r="J111" s="208" t="s">
        <v>287</v>
      </c>
      <c r="K111" s="208"/>
      <c r="L111" s="209" t="s">
        <v>288</v>
      </c>
      <c r="M111" s="209"/>
      <c r="N111" s="10">
        <v>2010</v>
      </c>
      <c r="O111" s="68" t="s">
        <v>289</v>
      </c>
      <c r="P111" s="199" t="s">
        <v>290</v>
      </c>
      <c r="Q111" s="199"/>
      <c r="R111" s="199" t="s">
        <v>291</v>
      </c>
      <c r="S111" s="199"/>
      <c r="T111" s="198" t="s">
        <v>292</v>
      </c>
      <c r="U111" s="198"/>
      <c r="V111" s="199" t="s">
        <v>293</v>
      </c>
      <c r="W111" s="199"/>
      <c r="X111" s="114" t="s">
        <v>298</v>
      </c>
      <c r="Y111" s="114" t="s">
        <v>299</v>
      </c>
      <c r="Z111" s="200" t="s">
        <v>294</v>
      </c>
      <c r="AA111" s="40">
        <v>2020</v>
      </c>
      <c r="AB111" s="207" t="s">
        <v>295</v>
      </c>
      <c r="AC111" s="208"/>
      <c r="AD111" s="61" t="s">
        <v>296</v>
      </c>
      <c r="AE111" s="57" t="s">
        <v>296</v>
      </c>
      <c r="AF111" s="10"/>
    </row>
    <row r="112" spans="1:32" ht="12.75">
      <c r="A112" s="206"/>
      <c r="B112" s="66" t="s">
        <v>153</v>
      </c>
      <c r="C112" s="10" t="s">
        <v>0</v>
      </c>
      <c r="D112" s="198"/>
      <c r="E112" s="198"/>
      <c r="F112" s="199"/>
      <c r="G112" s="199"/>
      <c r="H112" s="113"/>
      <c r="I112" s="109" t="s">
        <v>131</v>
      </c>
      <c r="J112" s="208"/>
      <c r="K112" s="208"/>
      <c r="L112" s="209"/>
      <c r="M112" s="209"/>
      <c r="N112" s="10" t="s">
        <v>2</v>
      </c>
      <c r="O112" s="68" t="s">
        <v>161</v>
      </c>
      <c r="P112" s="199"/>
      <c r="Q112" s="199"/>
      <c r="R112" s="199"/>
      <c r="S112" s="199"/>
      <c r="T112" s="198"/>
      <c r="U112" s="198"/>
      <c r="V112" s="199"/>
      <c r="W112" s="199"/>
      <c r="X112" s="114" t="s">
        <v>131</v>
      </c>
      <c r="Y112" s="114"/>
      <c r="Z112" s="201"/>
      <c r="AA112" s="41" t="s">
        <v>145</v>
      </c>
      <c r="AB112" s="207"/>
      <c r="AC112" s="208"/>
      <c r="AD112" s="61" t="s">
        <v>145</v>
      </c>
      <c r="AE112" s="57" t="s">
        <v>297</v>
      </c>
      <c r="AF112" s="10" t="s">
        <v>3</v>
      </c>
    </row>
    <row r="113" spans="1:32" ht="14.25">
      <c r="A113" s="206"/>
      <c r="B113" s="66" t="s">
        <v>151</v>
      </c>
      <c r="C113" s="10" t="s">
        <v>1</v>
      </c>
      <c r="D113" s="198"/>
      <c r="E113" s="198"/>
      <c r="F113" s="199"/>
      <c r="G113" s="199"/>
      <c r="H113" s="113"/>
      <c r="I113" s="109"/>
      <c r="J113" s="208"/>
      <c r="K113" s="208"/>
      <c r="L113" s="209"/>
      <c r="M113" s="209"/>
      <c r="N113" s="10" t="s">
        <v>97</v>
      </c>
      <c r="O113" s="68" t="s">
        <v>270</v>
      </c>
      <c r="P113" s="199"/>
      <c r="Q113" s="199"/>
      <c r="R113" s="199"/>
      <c r="S113" s="199"/>
      <c r="T113" s="198"/>
      <c r="U113" s="198"/>
      <c r="V113" s="199"/>
      <c r="W113" s="199"/>
      <c r="X113" s="109"/>
      <c r="Y113" s="109"/>
      <c r="Z113" s="202"/>
      <c r="AA113" s="39" t="s">
        <v>143</v>
      </c>
      <c r="AB113" s="208"/>
      <c r="AC113" s="208"/>
      <c r="AD113" s="61"/>
      <c r="AE113" s="57"/>
      <c r="AF113" s="125"/>
    </row>
    <row r="114" spans="1:32" ht="46.5">
      <c r="A114" s="78" t="s">
        <v>200</v>
      </c>
      <c r="B114" s="10" t="s">
        <v>154</v>
      </c>
      <c r="C114" s="10" t="s">
        <v>302</v>
      </c>
      <c r="D114" s="10" t="s">
        <v>5</v>
      </c>
      <c r="E114" s="11" t="s">
        <v>7</v>
      </c>
      <c r="F114" s="10" t="s">
        <v>95</v>
      </c>
      <c r="G114" s="10" t="s">
        <v>96</v>
      </c>
      <c r="H114" s="113" t="s">
        <v>7</v>
      </c>
      <c r="I114" s="109"/>
      <c r="J114" s="10" t="s">
        <v>5</v>
      </c>
      <c r="K114" s="12" t="s">
        <v>277</v>
      </c>
      <c r="L114" s="10" t="s">
        <v>5</v>
      </c>
      <c r="M114" s="42" t="s">
        <v>7</v>
      </c>
      <c r="N114" s="10"/>
      <c r="O114" s="68"/>
      <c r="P114" s="10" t="s">
        <v>5</v>
      </c>
      <c r="Q114" s="10" t="s">
        <v>7</v>
      </c>
      <c r="R114" s="10" t="s">
        <v>272</v>
      </c>
      <c r="S114" s="10" t="s">
        <v>273</v>
      </c>
      <c r="T114" s="10" t="s">
        <v>5</v>
      </c>
      <c r="U114" s="11" t="s">
        <v>7</v>
      </c>
      <c r="V114" s="10" t="s">
        <v>95</v>
      </c>
      <c r="W114" s="10" t="s">
        <v>96</v>
      </c>
      <c r="X114" s="109"/>
      <c r="Y114" s="109"/>
      <c r="Z114" s="10"/>
      <c r="AA114" s="10"/>
      <c r="AB114" s="10" t="s">
        <v>5</v>
      </c>
      <c r="AC114" s="12" t="s">
        <v>334</v>
      </c>
      <c r="AD114" s="61" t="s">
        <v>335</v>
      </c>
      <c r="AE114" s="57" t="s">
        <v>336</v>
      </c>
      <c r="AF114" s="125"/>
    </row>
    <row r="115" spans="1:32" ht="12.75">
      <c r="A115" s="10"/>
      <c r="B115" s="10"/>
      <c r="C115" s="125"/>
      <c r="D115" s="10" t="s">
        <v>6</v>
      </c>
      <c r="E115" s="11" t="s">
        <v>6</v>
      </c>
      <c r="F115" s="10"/>
      <c r="G115" s="10"/>
      <c r="H115" s="113" t="s">
        <v>6</v>
      </c>
      <c r="I115" s="109" t="s">
        <v>300</v>
      </c>
      <c r="J115" s="10" t="s">
        <v>6</v>
      </c>
      <c r="K115" s="12" t="s">
        <v>6</v>
      </c>
      <c r="L115" s="10" t="s">
        <v>6</v>
      </c>
      <c r="M115" s="42" t="s">
        <v>6</v>
      </c>
      <c r="N115" s="125"/>
      <c r="O115" s="126"/>
      <c r="P115" s="10" t="s">
        <v>6</v>
      </c>
      <c r="Q115" s="10" t="s">
        <v>6</v>
      </c>
      <c r="R115" s="10" t="s">
        <v>6</v>
      </c>
      <c r="S115" s="10" t="s">
        <v>6</v>
      </c>
      <c r="T115" s="10" t="s">
        <v>6</v>
      </c>
      <c r="U115" s="11" t="s">
        <v>6</v>
      </c>
      <c r="V115" s="10"/>
      <c r="W115" s="10"/>
      <c r="X115" s="109" t="s">
        <v>6</v>
      </c>
      <c r="Y115" s="109" t="s">
        <v>300</v>
      </c>
      <c r="Z115" s="10" t="s">
        <v>6</v>
      </c>
      <c r="AA115" s="10" t="s">
        <v>6</v>
      </c>
      <c r="AB115" s="10" t="s">
        <v>6</v>
      </c>
      <c r="AC115" s="12" t="s">
        <v>6</v>
      </c>
      <c r="AD115" s="61" t="s">
        <v>6</v>
      </c>
      <c r="AE115" s="57" t="s">
        <v>6</v>
      </c>
      <c r="AF115" s="125"/>
    </row>
    <row r="116" spans="1:32" ht="12.75">
      <c r="A116" s="10" t="s">
        <v>4</v>
      </c>
      <c r="B116" s="10"/>
      <c r="C116" s="125"/>
      <c r="D116" s="125"/>
      <c r="E116" s="127"/>
      <c r="F116" s="125"/>
      <c r="G116" s="125"/>
      <c r="H116" s="125"/>
      <c r="I116" s="125"/>
      <c r="J116" s="125"/>
      <c r="K116" s="128"/>
      <c r="L116" s="125"/>
      <c r="M116" s="129"/>
      <c r="N116" s="125"/>
      <c r="O116" s="126"/>
      <c r="P116" s="125"/>
      <c r="Q116" s="125"/>
      <c r="R116" s="125"/>
      <c r="S116" s="125"/>
      <c r="T116" s="125"/>
      <c r="U116" s="13"/>
      <c r="V116" s="44"/>
      <c r="W116" s="44"/>
      <c r="X116" s="44"/>
      <c r="Y116" s="44"/>
      <c r="Z116" s="125"/>
      <c r="AA116" s="125"/>
      <c r="AB116" s="125"/>
      <c r="AC116" s="128"/>
      <c r="AD116" s="121"/>
      <c r="AE116" s="130"/>
      <c r="AF116" s="125"/>
    </row>
    <row r="117" spans="1:32" ht="15">
      <c r="A117" s="54" t="s">
        <v>192</v>
      </c>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row>
    <row r="118" spans="1:32" ht="12.75">
      <c r="A118" s="16" t="s">
        <v>194</v>
      </c>
      <c r="B118" s="16" t="s">
        <v>159</v>
      </c>
      <c r="C118" s="17"/>
      <c r="D118" s="18">
        <v>0</v>
      </c>
      <c r="E118" s="46">
        <v>0</v>
      </c>
      <c r="F118" s="17"/>
      <c r="G118" s="17"/>
      <c r="H118" s="18">
        <v>0</v>
      </c>
      <c r="I118" s="17"/>
      <c r="J118" s="18">
        <v>0</v>
      </c>
      <c r="K118" s="37">
        <v>0</v>
      </c>
      <c r="L118" s="18">
        <f>SUM(D118)</f>
        <v>0</v>
      </c>
      <c r="M118" s="47">
        <f>SUM(E118-K118)</f>
        <v>0</v>
      </c>
      <c r="N118" s="17"/>
      <c r="O118" s="131">
        <v>0</v>
      </c>
      <c r="P118" s="18">
        <f>SUM(O118*84)*(1.25)/1000000</f>
        <v>0</v>
      </c>
      <c r="Q118" s="18">
        <f>SUM(O118*84)/1000000</f>
        <v>0</v>
      </c>
      <c r="R118" s="18">
        <f>SUM(E118*0.06)</f>
        <v>0</v>
      </c>
      <c r="S118" s="17"/>
      <c r="T118" s="18">
        <f>SUM(D118+P118)-(R118+S118)</f>
        <v>0</v>
      </c>
      <c r="U118" s="46">
        <f>SUM(E118+Q118)-(R118+S118)</f>
        <v>0</v>
      </c>
      <c r="V118" s="50"/>
      <c r="W118" s="50"/>
      <c r="X118" s="50">
        <v>0</v>
      </c>
      <c r="Y118" s="50"/>
      <c r="Z118" s="18"/>
      <c r="AA118" s="18">
        <f>K118+Z118</f>
        <v>0</v>
      </c>
      <c r="AB118" s="18">
        <f>SUM(U118)</f>
        <v>0</v>
      </c>
      <c r="AC118" s="37">
        <f>SUM(U118*0.7)</f>
        <v>0</v>
      </c>
      <c r="AD118" s="62">
        <f>SUM(AC118-K118)</f>
        <v>0</v>
      </c>
      <c r="AE118" s="58">
        <f>SUM(AD118*0.7)</f>
        <v>0</v>
      </c>
      <c r="AF118" s="17"/>
    </row>
    <row r="119" spans="1:32" ht="15">
      <c r="A119" s="14" t="s">
        <v>193</v>
      </c>
      <c r="B119" s="14"/>
      <c r="C119" s="15"/>
      <c r="D119" s="51"/>
      <c r="E119" s="51"/>
      <c r="F119" s="15"/>
      <c r="G119" s="15"/>
      <c r="H119" s="51"/>
      <c r="I119" s="15"/>
      <c r="J119" s="51"/>
      <c r="K119" s="51"/>
      <c r="L119" s="51"/>
      <c r="M119" s="52"/>
      <c r="N119" s="15"/>
      <c r="O119" s="67"/>
      <c r="P119" s="15"/>
      <c r="Q119" s="15"/>
      <c r="R119" s="15"/>
      <c r="S119" s="15"/>
      <c r="T119" s="15"/>
      <c r="U119" s="53"/>
      <c r="V119" s="53"/>
      <c r="W119" s="53"/>
      <c r="X119" s="53"/>
      <c r="Y119" s="53"/>
      <c r="Z119" s="15"/>
      <c r="AA119" s="52">
        <f>K119+Z119</f>
        <v>0</v>
      </c>
      <c r="AB119" s="15"/>
      <c r="AC119" s="15"/>
      <c r="AD119" s="15"/>
      <c r="AE119" s="15"/>
      <c r="AF119" s="15"/>
    </row>
    <row r="120" spans="1:32" ht="15">
      <c r="A120" s="16" t="s">
        <v>13</v>
      </c>
      <c r="B120" s="16"/>
      <c r="C120" s="17">
        <v>0</v>
      </c>
      <c r="D120" s="18">
        <v>0</v>
      </c>
      <c r="E120" s="46">
        <v>0</v>
      </c>
      <c r="F120" s="17"/>
      <c r="G120" s="17"/>
      <c r="H120" s="18">
        <v>0</v>
      </c>
      <c r="I120" s="17"/>
      <c r="J120" s="18">
        <v>0</v>
      </c>
      <c r="K120" s="37">
        <v>0</v>
      </c>
      <c r="L120" s="18">
        <v>0</v>
      </c>
      <c r="M120" s="47">
        <f>SUM(E120-K120)</f>
        <v>0</v>
      </c>
      <c r="N120" s="17"/>
      <c r="O120" s="131">
        <v>0</v>
      </c>
      <c r="P120" s="18">
        <v>0</v>
      </c>
      <c r="Q120" s="18">
        <v>0</v>
      </c>
      <c r="R120" s="18">
        <v>0</v>
      </c>
      <c r="S120" s="18">
        <v>0</v>
      </c>
      <c r="T120" s="18">
        <v>0</v>
      </c>
      <c r="U120" s="46">
        <v>0</v>
      </c>
      <c r="V120" s="43"/>
      <c r="W120" s="43"/>
      <c r="X120" s="18">
        <v>0</v>
      </c>
      <c r="Y120" s="43"/>
      <c r="Z120" s="18">
        <f>SUM(Z122)</f>
        <v>0</v>
      </c>
      <c r="AA120" s="18">
        <f>K120+Z120</f>
        <v>0</v>
      </c>
      <c r="AB120" s="18">
        <f>SUM(AB118:AB118)</f>
        <v>0</v>
      </c>
      <c r="AC120" s="37">
        <f>SUM(AC118:AC118)</f>
        <v>0</v>
      </c>
      <c r="AD120" s="62">
        <f>SUM(AD118:AD118)</f>
        <v>0</v>
      </c>
      <c r="AE120" s="58">
        <f>SUM(AE118:AE118)</f>
        <v>0</v>
      </c>
      <c r="AF120" s="20"/>
    </row>
    <row r="121" spans="1:32" ht="15.75" thickBot="1">
      <c r="A121" s="22" t="s">
        <v>14</v>
      </c>
      <c r="B121" s="22"/>
      <c r="C121" s="23">
        <v>0</v>
      </c>
      <c r="D121" s="24">
        <v>0</v>
      </c>
      <c r="E121" s="132">
        <v>0</v>
      </c>
      <c r="F121" s="23"/>
      <c r="G121" s="23"/>
      <c r="H121" s="24">
        <v>0</v>
      </c>
      <c r="I121" s="23"/>
      <c r="J121" s="24">
        <v>0</v>
      </c>
      <c r="K121" s="133">
        <v>0</v>
      </c>
      <c r="L121" s="24">
        <v>0</v>
      </c>
      <c r="M121" s="47">
        <f>SUM(E121-K121)</f>
        <v>0</v>
      </c>
      <c r="N121" s="23"/>
      <c r="O121" s="69">
        <f aca="true" t="shared" si="62" ref="O121:U121">SUM(O118)</f>
        <v>0</v>
      </c>
      <c r="P121" s="24">
        <f t="shared" si="62"/>
        <v>0</v>
      </c>
      <c r="Q121" s="24">
        <f t="shared" si="62"/>
        <v>0</v>
      </c>
      <c r="R121" s="24">
        <f t="shared" si="62"/>
        <v>0</v>
      </c>
      <c r="S121" s="24">
        <f t="shared" si="62"/>
        <v>0</v>
      </c>
      <c r="T121" s="24">
        <f t="shared" si="62"/>
        <v>0</v>
      </c>
      <c r="U121" s="132">
        <f t="shared" si="62"/>
        <v>0</v>
      </c>
      <c r="V121" s="45"/>
      <c r="W121" s="45"/>
      <c r="X121" s="24">
        <f>SUM(X118)</f>
        <v>0</v>
      </c>
      <c r="Y121" s="45"/>
      <c r="Z121" s="24">
        <v>0</v>
      </c>
      <c r="AA121" s="18">
        <f>K121+Z121</f>
        <v>0</v>
      </c>
      <c r="AB121" s="24">
        <v>0</v>
      </c>
      <c r="AC121" s="133">
        <v>0</v>
      </c>
      <c r="AD121" s="117">
        <v>0</v>
      </c>
      <c r="AE121" s="59">
        <v>0</v>
      </c>
      <c r="AF121" s="25"/>
    </row>
    <row r="122" spans="1:32" ht="13.5" thickBot="1">
      <c r="A122" s="26" t="s">
        <v>15</v>
      </c>
      <c r="B122" s="65"/>
      <c r="C122" s="27">
        <v>0</v>
      </c>
      <c r="D122" s="33">
        <f>SUM(D120:D121)</f>
        <v>0</v>
      </c>
      <c r="E122" s="134">
        <f>SUM(E120:E121)</f>
        <v>0</v>
      </c>
      <c r="F122" s="27"/>
      <c r="G122" s="27"/>
      <c r="H122" s="33">
        <f>SUM(H120:H121)</f>
        <v>0</v>
      </c>
      <c r="I122" s="135">
        <v>0</v>
      </c>
      <c r="J122" s="33">
        <f>SUM(J118:J118)</f>
        <v>0</v>
      </c>
      <c r="K122" s="141">
        <f>SUM(K118:K118)</f>
        <v>0</v>
      </c>
      <c r="L122" s="33">
        <f>SUM(L118:L118)</f>
        <v>0</v>
      </c>
      <c r="M122" s="137">
        <f>SUM(M118:M118)</f>
        <v>0</v>
      </c>
      <c r="N122" s="27"/>
      <c r="O122" s="138">
        <f aca="true" t="shared" si="63" ref="O122:U122">SUM(O120:O121)</f>
        <v>0</v>
      </c>
      <c r="P122" s="33">
        <f t="shared" si="63"/>
        <v>0</v>
      </c>
      <c r="Q122" s="33">
        <f t="shared" si="63"/>
        <v>0</v>
      </c>
      <c r="R122" s="33">
        <f t="shared" si="63"/>
        <v>0</v>
      </c>
      <c r="S122" s="33">
        <f t="shared" si="63"/>
        <v>0</v>
      </c>
      <c r="T122" s="33">
        <f t="shared" si="63"/>
        <v>0</v>
      </c>
      <c r="U122" s="134">
        <f t="shared" si="63"/>
        <v>0</v>
      </c>
      <c r="V122" s="33"/>
      <c r="W122" s="33"/>
      <c r="X122" s="33">
        <f>SUM(X120:X121)</f>
        <v>0</v>
      </c>
      <c r="Y122" s="135">
        <v>0</v>
      </c>
      <c r="Z122" s="33">
        <f aca="true" t="shared" si="64" ref="Z122:AE122">SUM(Z118:Z118)</f>
        <v>0</v>
      </c>
      <c r="AA122" s="33">
        <f t="shared" si="64"/>
        <v>0</v>
      </c>
      <c r="AB122" s="33">
        <f t="shared" si="64"/>
        <v>0</v>
      </c>
      <c r="AC122" s="136">
        <f t="shared" si="64"/>
        <v>0</v>
      </c>
      <c r="AD122" s="118">
        <f t="shared" si="64"/>
        <v>0</v>
      </c>
      <c r="AE122" s="60">
        <f t="shared" si="64"/>
        <v>0</v>
      </c>
      <c r="AF122" s="34"/>
    </row>
    <row r="123" spans="1:32" ht="14.25">
      <c r="A123" s="77" t="s">
        <v>182</v>
      </c>
      <c r="B123" s="77"/>
      <c r="C123" s="76"/>
      <c r="D123" s="75"/>
      <c r="E123" s="75"/>
      <c r="F123" s="76"/>
      <c r="G123" s="76"/>
      <c r="H123" s="76"/>
      <c r="I123" s="76"/>
      <c r="J123" s="75"/>
      <c r="K123" s="76"/>
      <c r="L123" s="75"/>
      <c r="M123" s="76"/>
      <c r="N123" s="76"/>
      <c r="O123" s="73">
        <v>1300</v>
      </c>
      <c r="P123" s="75"/>
      <c r="Q123" s="75"/>
      <c r="R123" s="75"/>
      <c r="S123" s="75"/>
      <c r="T123" s="75"/>
      <c r="U123" s="75"/>
      <c r="V123" s="75"/>
      <c r="W123" s="75"/>
      <c r="X123" s="75"/>
      <c r="Y123" s="75"/>
      <c r="Z123" s="75"/>
      <c r="AA123" s="75"/>
      <c r="AB123" s="75"/>
      <c r="AC123" s="75"/>
      <c r="AD123" s="75"/>
      <c r="AE123" s="75"/>
      <c r="AF123" s="5" t="s">
        <v>265</v>
      </c>
    </row>
    <row r="124" spans="1:32" ht="12.75">
      <c r="A124" s="77" t="s">
        <v>173</v>
      </c>
      <c r="B124" s="77"/>
      <c r="C124" s="76"/>
      <c r="D124" s="75"/>
      <c r="E124" s="75"/>
      <c r="F124" s="76"/>
      <c r="G124" s="76"/>
      <c r="H124" s="76"/>
      <c r="I124" s="76"/>
      <c r="J124" s="75"/>
      <c r="K124" s="76"/>
      <c r="L124" s="75"/>
      <c r="M124" s="76"/>
      <c r="N124" s="76"/>
      <c r="O124" s="74">
        <f>SUM(O122/O123)</f>
        <v>0</v>
      </c>
      <c r="P124" s="75"/>
      <c r="Q124" s="75"/>
      <c r="R124" s="75"/>
      <c r="S124" s="75"/>
      <c r="T124" s="75"/>
      <c r="U124" s="75"/>
      <c r="V124" s="75"/>
      <c r="W124" s="75"/>
      <c r="X124" s="75"/>
      <c r="Y124" s="75"/>
      <c r="Z124" s="75"/>
      <c r="AA124" s="75"/>
      <c r="AB124" s="75"/>
      <c r="AC124" s="75"/>
      <c r="AD124" s="75"/>
      <c r="AE124" s="75"/>
      <c r="AF124" s="5"/>
    </row>
    <row r="125" spans="1:32" ht="12.75">
      <c r="A125" s="77"/>
      <c r="B125" s="77"/>
      <c r="C125" s="76"/>
      <c r="D125" s="75"/>
      <c r="E125" s="75"/>
      <c r="F125" s="76"/>
      <c r="G125" s="76"/>
      <c r="H125" s="76"/>
      <c r="I125" s="76"/>
      <c r="J125" s="75"/>
      <c r="K125" s="76"/>
      <c r="L125" s="75"/>
      <c r="M125" s="76"/>
      <c r="N125" s="76"/>
      <c r="O125" s="83"/>
      <c r="P125" s="75"/>
      <c r="Q125" s="75"/>
      <c r="R125" s="75"/>
      <c r="S125" s="75"/>
      <c r="T125" s="75"/>
      <c r="U125" s="75"/>
      <c r="V125" s="75"/>
      <c r="W125" s="75"/>
      <c r="X125" s="75"/>
      <c r="Y125" s="75"/>
      <c r="Z125" s="75"/>
      <c r="AA125" s="75"/>
      <c r="AB125" s="75"/>
      <c r="AC125" s="75"/>
      <c r="AD125" s="75"/>
      <c r="AE125" s="75"/>
      <c r="AF125" s="5"/>
    </row>
    <row r="126" spans="1:32" ht="27.75" customHeight="1">
      <c r="A126" s="206"/>
      <c r="B126" s="64"/>
      <c r="C126" s="10"/>
      <c r="D126" s="198" t="s">
        <v>285</v>
      </c>
      <c r="E126" s="198"/>
      <c r="F126" s="199" t="s">
        <v>286</v>
      </c>
      <c r="G126" s="199"/>
      <c r="H126" s="113" t="s">
        <v>131</v>
      </c>
      <c r="I126" s="109">
        <v>2010</v>
      </c>
      <c r="J126" s="208" t="s">
        <v>287</v>
      </c>
      <c r="K126" s="208"/>
      <c r="L126" s="209" t="s">
        <v>288</v>
      </c>
      <c r="M126" s="209"/>
      <c r="N126" s="10">
        <v>2010</v>
      </c>
      <c r="O126" s="68" t="s">
        <v>289</v>
      </c>
      <c r="P126" s="199" t="s">
        <v>290</v>
      </c>
      <c r="Q126" s="199"/>
      <c r="R126" s="199" t="s">
        <v>291</v>
      </c>
      <c r="S126" s="199"/>
      <c r="T126" s="198" t="s">
        <v>292</v>
      </c>
      <c r="U126" s="198"/>
      <c r="V126" s="199" t="s">
        <v>293</v>
      </c>
      <c r="W126" s="199"/>
      <c r="X126" s="114" t="s">
        <v>298</v>
      </c>
      <c r="Y126" s="114" t="s">
        <v>299</v>
      </c>
      <c r="Z126" s="200" t="s">
        <v>294</v>
      </c>
      <c r="AA126" s="40">
        <v>2020</v>
      </c>
      <c r="AB126" s="207" t="s">
        <v>295</v>
      </c>
      <c r="AC126" s="208"/>
      <c r="AD126" s="61" t="s">
        <v>296</v>
      </c>
      <c r="AE126" s="57" t="s">
        <v>296</v>
      </c>
      <c r="AF126" s="10"/>
    </row>
    <row r="127" spans="1:32" ht="12.75">
      <c r="A127" s="206"/>
      <c r="B127" s="66" t="s">
        <v>153</v>
      </c>
      <c r="C127" s="10" t="s">
        <v>0</v>
      </c>
      <c r="D127" s="198"/>
      <c r="E127" s="198"/>
      <c r="F127" s="199"/>
      <c r="G127" s="199"/>
      <c r="H127" s="113"/>
      <c r="I127" s="109" t="s">
        <v>131</v>
      </c>
      <c r="J127" s="208"/>
      <c r="K127" s="208"/>
      <c r="L127" s="209"/>
      <c r="M127" s="209"/>
      <c r="N127" s="10" t="s">
        <v>2</v>
      </c>
      <c r="O127" s="68" t="s">
        <v>161</v>
      </c>
      <c r="P127" s="199"/>
      <c r="Q127" s="199"/>
      <c r="R127" s="199"/>
      <c r="S127" s="199"/>
      <c r="T127" s="198"/>
      <c r="U127" s="198"/>
      <c r="V127" s="199"/>
      <c r="W127" s="199"/>
      <c r="X127" s="114" t="s">
        <v>131</v>
      </c>
      <c r="Y127" s="114"/>
      <c r="Z127" s="201"/>
      <c r="AA127" s="41" t="s">
        <v>145</v>
      </c>
      <c r="AB127" s="207"/>
      <c r="AC127" s="208"/>
      <c r="AD127" s="61" t="s">
        <v>145</v>
      </c>
      <c r="AE127" s="57" t="s">
        <v>297</v>
      </c>
      <c r="AF127" s="10" t="s">
        <v>3</v>
      </c>
    </row>
    <row r="128" spans="1:32" ht="14.25">
      <c r="A128" s="206"/>
      <c r="B128" s="66" t="s">
        <v>151</v>
      </c>
      <c r="C128" s="10" t="s">
        <v>1</v>
      </c>
      <c r="D128" s="198"/>
      <c r="E128" s="198"/>
      <c r="F128" s="199"/>
      <c r="G128" s="199"/>
      <c r="H128" s="113"/>
      <c r="I128" s="109"/>
      <c r="J128" s="208"/>
      <c r="K128" s="208"/>
      <c r="L128" s="209"/>
      <c r="M128" s="209"/>
      <c r="N128" s="10" t="s">
        <v>97</v>
      </c>
      <c r="O128" s="68" t="s">
        <v>270</v>
      </c>
      <c r="P128" s="199"/>
      <c r="Q128" s="199"/>
      <c r="R128" s="199"/>
      <c r="S128" s="199"/>
      <c r="T128" s="198"/>
      <c r="U128" s="198"/>
      <c r="V128" s="199"/>
      <c r="W128" s="199"/>
      <c r="X128" s="109"/>
      <c r="Y128" s="109"/>
      <c r="Z128" s="202"/>
      <c r="AA128" s="39" t="s">
        <v>143</v>
      </c>
      <c r="AB128" s="208"/>
      <c r="AC128" s="208"/>
      <c r="AD128" s="61"/>
      <c r="AE128" s="57"/>
      <c r="AF128" s="125"/>
    </row>
    <row r="129" spans="1:32" ht="52.5">
      <c r="A129" s="78" t="s">
        <v>212</v>
      </c>
      <c r="B129" s="10" t="s">
        <v>154</v>
      </c>
      <c r="C129" s="10" t="s">
        <v>302</v>
      </c>
      <c r="D129" s="10" t="s">
        <v>5</v>
      </c>
      <c r="E129" s="101" t="s">
        <v>7</v>
      </c>
      <c r="F129" s="10"/>
      <c r="G129" s="10"/>
      <c r="H129" s="113" t="s">
        <v>7</v>
      </c>
      <c r="I129" s="109"/>
      <c r="J129" s="10" t="s">
        <v>5</v>
      </c>
      <c r="K129" s="106" t="s">
        <v>277</v>
      </c>
      <c r="L129" s="10" t="s">
        <v>5</v>
      </c>
      <c r="M129" s="102" t="s">
        <v>7</v>
      </c>
      <c r="N129" s="10"/>
      <c r="O129" s="91"/>
      <c r="P129" s="10" t="s">
        <v>5</v>
      </c>
      <c r="Q129" s="10" t="s">
        <v>7</v>
      </c>
      <c r="R129" s="10" t="s">
        <v>272</v>
      </c>
      <c r="S129" s="10" t="s">
        <v>273</v>
      </c>
      <c r="T129" s="10" t="s">
        <v>5</v>
      </c>
      <c r="U129" s="101" t="s">
        <v>7</v>
      </c>
      <c r="V129" s="10" t="s">
        <v>95</v>
      </c>
      <c r="W129" s="10" t="s">
        <v>96</v>
      </c>
      <c r="X129" s="109"/>
      <c r="Y129" s="109"/>
      <c r="Z129" s="10"/>
      <c r="AA129" s="10"/>
      <c r="AB129" s="10" t="s">
        <v>5</v>
      </c>
      <c r="AC129" s="99" t="s">
        <v>340</v>
      </c>
      <c r="AD129" s="92" t="s">
        <v>340</v>
      </c>
      <c r="AE129" s="93" t="s">
        <v>341</v>
      </c>
      <c r="AF129" s="125"/>
    </row>
    <row r="130" spans="1:32" ht="12.75">
      <c r="A130" s="10"/>
      <c r="B130" s="10"/>
      <c r="C130" s="125"/>
      <c r="D130" s="10" t="s">
        <v>6</v>
      </c>
      <c r="E130" s="101" t="s">
        <v>6</v>
      </c>
      <c r="F130" s="10"/>
      <c r="G130" s="10"/>
      <c r="H130" s="113" t="s">
        <v>6</v>
      </c>
      <c r="I130" s="109" t="s">
        <v>300</v>
      </c>
      <c r="J130" s="10" t="s">
        <v>6</v>
      </c>
      <c r="K130" s="99" t="s">
        <v>6</v>
      </c>
      <c r="L130" s="10" t="s">
        <v>6</v>
      </c>
      <c r="M130" s="102" t="s">
        <v>6</v>
      </c>
      <c r="N130" s="125"/>
      <c r="O130" s="142"/>
      <c r="P130" s="10" t="s">
        <v>6</v>
      </c>
      <c r="Q130" s="10" t="s">
        <v>6</v>
      </c>
      <c r="R130" s="10" t="s">
        <v>6</v>
      </c>
      <c r="S130" s="10" t="s">
        <v>6</v>
      </c>
      <c r="T130" s="10" t="s">
        <v>6</v>
      </c>
      <c r="U130" s="101" t="s">
        <v>6</v>
      </c>
      <c r="V130" s="10"/>
      <c r="W130" s="10"/>
      <c r="X130" s="109" t="s">
        <v>6</v>
      </c>
      <c r="Y130" s="109" t="s">
        <v>300</v>
      </c>
      <c r="Z130" s="10" t="s">
        <v>6</v>
      </c>
      <c r="AA130" s="10" t="s">
        <v>6</v>
      </c>
      <c r="AB130" s="10" t="s">
        <v>6</v>
      </c>
      <c r="AC130" s="99" t="s">
        <v>6</v>
      </c>
      <c r="AD130" s="92" t="s">
        <v>6</v>
      </c>
      <c r="AE130" s="93" t="s">
        <v>6</v>
      </c>
      <c r="AF130" s="125"/>
    </row>
    <row r="131" spans="1:32" ht="12.75">
      <c r="A131" s="79" t="s">
        <v>13</v>
      </c>
      <c r="B131" s="79" t="s">
        <v>211</v>
      </c>
      <c r="C131" s="10">
        <v>0</v>
      </c>
      <c r="D131" s="40">
        <f aca="true" t="shared" si="65" ref="D131:E133">SUM(D11,D34,D56,D77,D101,D120)</f>
        <v>0</v>
      </c>
      <c r="E131" s="143">
        <f t="shared" si="65"/>
        <v>0</v>
      </c>
      <c r="F131" s="40"/>
      <c r="G131" s="40"/>
      <c r="H131" s="85">
        <v>0</v>
      </c>
      <c r="I131" s="40"/>
      <c r="J131" s="40">
        <f aca="true" t="shared" si="66" ref="J131:M133">SUM(J11,J34,J56,J77,J101,J120)</f>
        <v>0</v>
      </c>
      <c r="K131" s="144">
        <f t="shared" si="66"/>
        <v>0</v>
      </c>
      <c r="L131" s="40">
        <f t="shared" si="66"/>
        <v>0</v>
      </c>
      <c r="M131" s="82">
        <f t="shared" si="66"/>
        <v>0</v>
      </c>
      <c r="N131" s="40"/>
      <c r="O131" s="145">
        <f aca="true" t="shared" si="67" ref="O131:U133">SUM(O11,O34,O56,O77,O101,O120)</f>
        <v>0</v>
      </c>
      <c r="P131" s="40">
        <f t="shared" si="67"/>
        <v>0</v>
      </c>
      <c r="Q131" s="40">
        <f t="shared" si="67"/>
        <v>0</v>
      </c>
      <c r="R131" s="40">
        <f t="shared" si="67"/>
        <v>0</v>
      </c>
      <c r="S131" s="40">
        <f t="shared" si="67"/>
        <v>0</v>
      </c>
      <c r="T131" s="40">
        <f t="shared" si="67"/>
        <v>0</v>
      </c>
      <c r="U131" s="143">
        <f t="shared" si="67"/>
        <v>0</v>
      </c>
      <c r="V131" s="40"/>
      <c r="W131" s="40"/>
      <c r="X131" s="40">
        <f>SUM(X11,X34,X56,X77,X101,X120)</f>
        <v>0</v>
      </c>
      <c r="Y131" s="40"/>
      <c r="Z131" s="85">
        <f aca="true" t="shared" si="68" ref="Z131:AE133">SUM(Z11,Z34,Z56,Z77,Z101,Z120)</f>
        <v>0</v>
      </c>
      <c r="AA131" s="85">
        <f t="shared" si="68"/>
        <v>0</v>
      </c>
      <c r="AB131" s="85">
        <f t="shared" si="68"/>
        <v>0</v>
      </c>
      <c r="AC131" s="89">
        <f t="shared" si="68"/>
        <v>0</v>
      </c>
      <c r="AD131" s="119">
        <f t="shared" si="68"/>
        <v>0</v>
      </c>
      <c r="AE131" s="146">
        <f t="shared" si="68"/>
        <v>0</v>
      </c>
      <c r="AF131" s="40"/>
    </row>
    <row r="132" spans="1:32" ht="16.5" thickBot="1">
      <c r="A132" s="80" t="s">
        <v>14</v>
      </c>
      <c r="B132" s="80" t="s">
        <v>211</v>
      </c>
      <c r="C132" s="40">
        <f>SUM(C12,C35,C57,C78,C102,C121)</f>
        <v>32</v>
      </c>
      <c r="D132" s="40">
        <f t="shared" si="65"/>
        <v>33.78</v>
      </c>
      <c r="E132" s="143">
        <f t="shared" si="65"/>
        <v>16.84</v>
      </c>
      <c r="F132" s="40"/>
      <c r="G132" s="40"/>
      <c r="H132" s="85">
        <v>0</v>
      </c>
      <c r="I132" s="40"/>
      <c r="J132" s="40">
        <f t="shared" si="66"/>
        <v>25.880000000000003</v>
      </c>
      <c r="K132" s="144">
        <f t="shared" si="66"/>
        <v>9.04</v>
      </c>
      <c r="L132" s="40">
        <f t="shared" si="66"/>
        <v>33.78</v>
      </c>
      <c r="M132" s="86">
        <f t="shared" si="66"/>
        <v>8.07</v>
      </c>
      <c r="N132" s="40"/>
      <c r="O132" s="147">
        <f t="shared" si="67"/>
        <v>176555</v>
      </c>
      <c r="P132" s="85">
        <f t="shared" si="67"/>
        <v>18.538275</v>
      </c>
      <c r="Q132" s="85">
        <f t="shared" si="67"/>
        <v>14.830620000000001</v>
      </c>
      <c r="R132" s="85">
        <f t="shared" si="67"/>
        <v>1.1884</v>
      </c>
      <c r="S132" s="40">
        <f t="shared" si="67"/>
        <v>0.25</v>
      </c>
      <c r="T132" s="85">
        <f t="shared" si="67"/>
        <v>50.634075</v>
      </c>
      <c r="U132" s="148">
        <f t="shared" si="67"/>
        <v>30.16642</v>
      </c>
      <c r="V132" s="40"/>
      <c r="W132" s="40"/>
      <c r="X132" s="85">
        <f>SUM(X12,X35,X57,X78,X102,X121)</f>
        <v>29.980992</v>
      </c>
      <c r="Y132" s="40"/>
      <c r="Z132" s="40">
        <f t="shared" si="68"/>
        <v>5.919999999999999</v>
      </c>
      <c r="AA132" s="40">
        <f t="shared" si="68"/>
        <v>14.850000000000001</v>
      </c>
      <c r="AB132" s="85">
        <f t="shared" si="68"/>
        <v>31.242915999999997</v>
      </c>
      <c r="AC132" s="89">
        <f t="shared" si="68"/>
        <v>23.7759744</v>
      </c>
      <c r="AD132" s="119">
        <f t="shared" si="68"/>
        <v>14.8459744</v>
      </c>
      <c r="AE132" s="146">
        <f t="shared" si="68"/>
        <v>10.6501706</v>
      </c>
      <c r="AF132" s="81"/>
    </row>
    <row r="133" spans="1:32" ht="13.5" thickBot="1">
      <c r="A133" s="26" t="s">
        <v>210</v>
      </c>
      <c r="B133" s="27"/>
      <c r="C133" s="27">
        <f>SUM(C13,C36,C58,C79,C103,C122)</f>
        <v>32</v>
      </c>
      <c r="D133" s="27">
        <f t="shared" si="65"/>
        <v>33.78</v>
      </c>
      <c r="E133" s="149">
        <f t="shared" si="65"/>
        <v>16.84</v>
      </c>
      <c r="F133" s="27"/>
      <c r="G133" s="27"/>
      <c r="H133" s="28">
        <f>SUM(H13,H36,H58,H79,H103,H122)</f>
        <v>0</v>
      </c>
      <c r="I133" s="135">
        <f>(H133/E133)</f>
        <v>0</v>
      </c>
      <c r="J133" s="27">
        <f t="shared" si="66"/>
        <v>25.880000000000003</v>
      </c>
      <c r="K133" s="150">
        <f t="shared" si="66"/>
        <v>9.04</v>
      </c>
      <c r="L133" s="27">
        <f t="shared" si="66"/>
        <v>33.78</v>
      </c>
      <c r="M133" s="87">
        <f t="shared" si="66"/>
        <v>8.07</v>
      </c>
      <c r="N133" s="27"/>
      <c r="O133" s="151">
        <f t="shared" si="67"/>
        <v>176555</v>
      </c>
      <c r="P133" s="28">
        <f t="shared" si="67"/>
        <v>18.538275</v>
      </c>
      <c r="Q133" s="28">
        <f t="shared" si="67"/>
        <v>14.830620000000001</v>
      </c>
      <c r="R133" s="28">
        <f t="shared" si="67"/>
        <v>1.1884</v>
      </c>
      <c r="S133" s="27">
        <f t="shared" si="67"/>
        <v>0.25</v>
      </c>
      <c r="T133" s="28">
        <f t="shared" si="67"/>
        <v>50.634075</v>
      </c>
      <c r="U133" s="152">
        <f t="shared" si="67"/>
        <v>30.16642</v>
      </c>
      <c r="V133" s="27"/>
      <c r="W133" s="27"/>
      <c r="X133" s="28">
        <f>SUM(X13,X36,X58,X79,X103,X122)</f>
        <v>29.980992</v>
      </c>
      <c r="Y133" s="135">
        <f>SUM(X133/U133)</f>
        <v>0.9938531652082018</v>
      </c>
      <c r="Z133" s="27">
        <f t="shared" si="68"/>
        <v>5.919999999999999</v>
      </c>
      <c r="AA133" s="27">
        <f t="shared" si="68"/>
        <v>14.850000000000001</v>
      </c>
      <c r="AB133" s="28">
        <f t="shared" si="68"/>
        <v>31.242915999999997</v>
      </c>
      <c r="AC133" s="90">
        <f t="shared" si="68"/>
        <v>23.7759744</v>
      </c>
      <c r="AD133" s="120">
        <f t="shared" si="68"/>
        <v>14.8459744</v>
      </c>
      <c r="AE133" s="153">
        <f t="shared" si="68"/>
        <v>10.6501706</v>
      </c>
      <c r="AF133" s="29"/>
    </row>
    <row r="134" spans="1:32" ht="15" thickBot="1">
      <c r="A134" s="77" t="s">
        <v>182</v>
      </c>
      <c r="B134" s="77"/>
      <c r="C134" s="76"/>
      <c r="D134" s="75"/>
      <c r="E134" s="75"/>
      <c r="F134" s="76"/>
      <c r="G134" s="76"/>
      <c r="H134" s="76"/>
      <c r="I134" s="76"/>
      <c r="J134" s="75"/>
      <c r="K134" s="76"/>
      <c r="L134" s="75"/>
      <c r="M134" s="76"/>
      <c r="N134" s="76"/>
      <c r="O134" s="151">
        <f>SUM(O14,O37,O59,O80,O104,O123)</f>
        <v>325262</v>
      </c>
      <c r="P134" s="75"/>
      <c r="Q134" s="75"/>
      <c r="R134" s="75"/>
      <c r="S134" s="75"/>
      <c r="T134" s="75"/>
      <c r="U134" s="75"/>
      <c r="V134" s="75"/>
      <c r="W134" s="75"/>
      <c r="X134" s="75"/>
      <c r="Y134" s="75"/>
      <c r="Z134" s="75"/>
      <c r="AA134" s="75"/>
      <c r="AB134" s="75"/>
      <c r="AC134" s="75"/>
      <c r="AD134" s="75"/>
      <c r="AE134" s="75"/>
      <c r="AF134" s="72" t="s">
        <v>265</v>
      </c>
    </row>
    <row r="135" spans="1:32" ht="12.75">
      <c r="A135" s="77" t="s">
        <v>173</v>
      </c>
      <c r="B135" s="77"/>
      <c r="C135" s="76"/>
      <c r="D135" s="75"/>
      <c r="E135" s="75"/>
      <c r="F135" s="76"/>
      <c r="G135" s="76"/>
      <c r="H135" s="76"/>
      <c r="I135" s="76"/>
      <c r="J135" s="75"/>
      <c r="K135" s="76"/>
      <c r="L135" s="75"/>
      <c r="M135" s="76"/>
      <c r="N135" s="76"/>
      <c r="O135" s="154">
        <f>SUM(O133/O134)</f>
        <v>0.5428085666324378</v>
      </c>
      <c r="P135" s="75"/>
      <c r="Q135" s="75"/>
      <c r="R135" s="75"/>
      <c r="S135" s="75"/>
      <c r="T135" s="75"/>
      <c r="U135" s="75"/>
      <c r="V135" s="75"/>
      <c r="W135" s="75"/>
      <c r="X135" s="75"/>
      <c r="Y135" s="75"/>
      <c r="Z135" s="75"/>
      <c r="AA135" s="75"/>
      <c r="AB135" s="75"/>
      <c r="AC135" s="75"/>
      <c r="AD135" s="75"/>
      <c r="AE135" s="75"/>
      <c r="AF135" s="72"/>
    </row>
    <row r="136" spans="1:32" ht="12.75">
      <c r="A136" s="194" t="s">
        <v>333</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row>
    <row r="137" spans="1:32" ht="12.75">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row>
    <row r="138" spans="1:32" ht="12.75">
      <c r="A138" s="140" t="s">
        <v>413</v>
      </c>
      <c r="B138" s="77"/>
      <c r="C138" s="76"/>
      <c r="D138" s="75"/>
      <c r="E138" s="75"/>
      <c r="F138" s="76"/>
      <c r="G138" s="76"/>
      <c r="H138" s="76"/>
      <c r="I138" s="76"/>
      <c r="J138" s="75"/>
      <c r="K138" s="76"/>
      <c r="L138" s="75"/>
      <c r="M138" s="76"/>
      <c r="N138" s="76"/>
      <c r="O138" s="83"/>
      <c r="P138" s="75"/>
      <c r="Q138" s="75"/>
      <c r="R138" s="75"/>
      <c r="S138" s="75"/>
      <c r="T138" s="75"/>
      <c r="U138" s="75"/>
      <c r="V138" s="75"/>
      <c r="W138" s="75"/>
      <c r="X138" s="75"/>
      <c r="Y138" s="75"/>
      <c r="Z138" s="75"/>
      <c r="AA138" s="75"/>
      <c r="AB138" s="75"/>
      <c r="AC138" s="75"/>
      <c r="AD138" s="75"/>
      <c r="AE138" s="75"/>
      <c r="AF138" s="5"/>
    </row>
    <row r="139" spans="1:32" ht="15" customHeight="1">
      <c r="A139" s="206"/>
      <c r="B139" s="64"/>
      <c r="C139" s="10"/>
      <c r="D139" s="198" t="s">
        <v>285</v>
      </c>
      <c r="E139" s="198"/>
      <c r="F139" s="199" t="s">
        <v>286</v>
      </c>
      <c r="G139" s="199"/>
      <c r="H139" s="113" t="s">
        <v>131</v>
      </c>
      <c r="I139" s="109">
        <v>2010</v>
      </c>
      <c r="J139" s="208" t="s">
        <v>287</v>
      </c>
      <c r="K139" s="208"/>
      <c r="L139" s="209" t="s">
        <v>288</v>
      </c>
      <c r="M139" s="209"/>
      <c r="N139" s="10">
        <v>2010</v>
      </c>
      <c r="O139" s="68" t="s">
        <v>289</v>
      </c>
      <c r="P139" s="199" t="s">
        <v>290</v>
      </c>
      <c r="Q139" s="199"/>
      <c r="R139" s="199" t="s">
        <v>291</v>
      </c>
      <c r="S139" s="199"/>
      <c r="T139" s="198" t="s">
        <v>292</v>
      </c>
      <c r="U139" s="198"/>
      <c r="V139" s="199" t="s">
        <v>293</v>
      </c>
      <c r="W139" s="199"/>
      <c r="X139" s="114" t="s">
        <v>298</v>
      </c>
      <c r="Y139" s="114" t="s">
        <v>299</v>
      </c>
      <c r="Z139" s="200" t="s">
        <v>294</v>
      </c>
      <c r="AA139" s="40">
        <v>2020</v>
      </c>
      <c r="AB139" s="207" t="s">
        <v>295</v>
      </c>
      <c r="AC139" s="208"/>
      <c r="AD139" s="61" t="s">
        <v>296</v>
      </c>
      <c r="AE139" s="57" t="s">
        <v>296</v>
      </c>
      <c r="AF139" s="10"/>
    </row>
    <row r="140" spans="1:32" ht="12.75">
      <c r="A140" s="206"/>
      <c r="B140" s="66" t="s">
        <v>153</v>
      </c>
      <c r="C140" s="10" t="s">
        <v>0</v>
      </c>
      <c r="D140" s="198"/>
      <c r="E140" s="198"/>
      <c r="F140" s="199"/>
      <c r="G140" s="199"/>
      <c r="H140" s="113"/>
      <c r="I140" s="109" t="s">
        <v>131</v>
      </c>
      <c r="J140" s="208"/>
      <c r="K140" s="208"/>
      <c r="L140" s="209"/>
      <c r="M140" s="209"/>
      <c r="N140" s="10" t="s">
        <v>2</v>
      </c>
      <c r="O140" s="68" t="s">
        <v>161</v>
      </c>
      <c r="P140" s="199"/>
      <c r="Q140" s="199"/>
      <c r="R140" s="199"/>
      <c r="S140" s="199"/>
      <c r="T140" s="198"/>
      <c r="U140" s="198"/>
      <c r="V140" s="199"/>
      <c r="W140" s="199"/>
      <c r="X140" s="114" t="s">
        <v>131</v>
      </c>
      <c r="Y140" s="114"/>
      <c r="Z140" s="201"/>
      <c r="AA140" s="41" t="s">
        <v>145</v>
      </c>
      <c r="AB140" s="207"/>
      <c r="AC140" s="208"/>
      <c r="AD140" s="61" t="s">
        <v>145</v>
      </c>
      <c r="AE140" s="57" t="s">
        <v>297</v>
      </c>
      <c r="AF140" s="10" t="s">
        <v>3</v>
      </c>
    </row>
    <row r="141" spans="1:32" ht="14.25">
      <c r="A141" s="206"/>
      <c r="B141" s="66" t="s">
        <v>151</v>
      </c>
      <c r="C141" s="10" t="s">
        <v>1</v>
      </c>
      <c r="D141" s="198"/>
      <c r="E141" s="198"/>
      <c r="F141" s="199"/>
      <c r="G141" s="199"/>
      <c r="H141" s="113"/>
      <c r="I141" s="109"/>
      <c r="J141" s="208"/>
      <c r="K141" s="208"/>
      <c r="L141" s="209"/>
      <c r="M141" s="209"/>
      <c r="N141" s="10" t="s">
        <v>97</v>
      </c>
      <c r="O141" s="68" t="s">
        <v>270</v>
      </c>
      <c r="P141" s="199"/>
      <c r="Q141" s="199"/>
      <c r="R141" s="199"/>
      <c r="S141" s="199"/>
      <c r="T141" s="198"/>
      <c r="U141" s="198"/>
      <c r="V141" s="199"/>
      <c r="W141" s="199"/>
      <c r="X141" s="109"/>
      <c r="Y141" s="109"/>
      <c r="Z141" s="202"/>
      <c r="AA141" s="39" t="s">
        <v>143</v>
      </c>
      <c r="AB141" s="208"/>
      <c r="AC141" s="208"/>
      <c r="AD141" s="61"/>
      <c r="AE141" s="57"/>
      <c r="AF141" s="125"/>
    </row>
    <row r="142" spans="1:32" ht="54" customHeight="1">
      <c r="A142" s="78" t="s">
        <v>205</v>
      </c>
      <c r="B142" s="10" t="s">
        <v>154</v>
      </c>
      <c r="C142" s="10" t="s">
        <v>302</v>
      </c>
      <c r="D142" s="10" t="s">
        <v>5</v>
      </c>
      <c r="E142" s="11" t="s">
        <v>7</v>
      </c>
      <c r="F142" s="10" t="s">
        <v>95</v>
      </c>
      <c r="G142" s="10" t="s">
        <v>96</v>
      </c>
      <c r="H142" s="113" t="s">
        <v>7</v>
      </c>
      <c r="I142" s="109"/>
      <c r="J142" s="10" t="s">
        <v>5</v>
      </c>
      <c r="K142" s="12" t="s">
        <v>277</v>
      </c>
      <c r="L142" s="10" t="s">
        <v>5</v>
      </c>
      <c r="M142" s="42" t="s">
        <v>7</v>
      </c>
      <c r="N142" s="10"/>
      <c r="O142" s="68"/>
      <c r="P142" s="10" t="s">
        <v>5</v>
      </c>
      <c r="Q142" s="10" t="s">
        <v>7</v>
      </c>
      <c r="R142" s="10" t="s">
        <v>272</v>
      </c>
      <c r="S142" s="10" t="s">
        <v>273</v>
      </c>
      <c r="T142" s="10" t="s">
        <v>5</v>
      </c>
      <c r="U142" s="11" t="s">
        <v>7</v>
      </c>
      <c r="V142" s="10" t="s">
        <v>95</v>
      </c>
      <c r="W142" s="10" t="s">
        <v>96</v>
      </c>
      <c r="X142" s="109"/>
      <c r="Y142" s="109"/>
      <c r="Z142" s="10"/>
      <c r="AA142" s="10"/>
      <c r="AB142" s="10" t="s">
        <v>5</v>
      </c>
      <c r="AC142" s="12" t="s">
        <v>334</v>
      </c>
      <c r="AD142" s="61" t="s">
        <v>335</v>
      </c>
      <c r="AE142" s="57" t="s">
        <v>336</v>
      </c>
      <c r="AF142" s="125"/>
    </row>
    <row r="143" spans="1:32" ht="12.75">
      <c r="A143" s="10"/>
      <c r="B143" s="10"/>
      <c r="C143" s="125"/>
      <c r="D143" s="10" t="s">
        <v>6</v>
      </c>
      <c r="E143" s="11" t="s">
        <v>6</v>
      </c>
      <c r="F143" s="10"/>
      <c r="G143" s="10"/>
      <c r="H143" s="113" t="s">
        <v>6</v>
      </c>
      <c r="I143" s="109" t="s">
        <v>300</v>
      </c>
      <c r="J143" s="10" t="s">
        <v>6</v>
      </c>
      <c r="K143" s="12" t="s">
        <v>6</v>
      </c>
      <c r="L143" s="10" t="s">
        <v>6</v>
      </c>
      <c r="M143" s="42" t="s">
        <v>6</v>
      </c>
      <c r="N143" s="125"/>
      <c r="O143" s="126"/>
      <c r="P143" s="10" t="s">
        <v>6</v>
      </c>
      <c r="Q143" s="10" t="s">
        <v>6</v>
      </c>
      <c r="R143" s="10" t="s">
        <v>6</v>
      </c>
      <c r="S143" s="10" t="s">
        <v>6</v>
      </c>
      <c r="T143" s="10" t="s">
        <v>6</v>
      </c>
      <c r="U143" s="11" t="s">
        <v>6</v>
      </c>
      <c r="V143" s="10"/>
      <c r="W143" s="10"/>
      <c r="X143" s="109" t="s">
        <v>6</v>
      </c>
      <c r="Y143" s="109" t="s">
        <v>300</v>
      </c>
      <c r="Z143" s="10" t="s">
        <v>6</v>
      </c>
      <c r="AA143" s="10" t="s">
        <v>6</v>
      </c>
      <c r="AB143" s="10" t="s">
        <v>6</v>
      </c>
      <c r="AC143" s="12" t="s">
        <v>6</v>
      </c>
      <c r="AD143" s="61" t="s">
        <v>6</v>
      </c>
      <c r="AE143" s="57" t="s">
        <v>6</v>
      </c>
      <c r="AF143" s="125"/>
    </row>
    <row r="144" spans="1:32" ht="12.75">
      <c r="A144" s="10" t="s">
        <v>4</v>
      </c>
      <c r="B144" s="10"/>
      <c r="C144" s="125"/>
      <c r="D144" s="125"/>
      <c r="E144" s="127"/>
      <c r="F144" s="125"/>
      <c r="G144" s="125"/>
      <c r="H144" s="125"/>
      <c r="I144" s="125"/>
      <c r="J144" s="125"/>
      <c r="K144" s="128"/>
      <c r="L144" s="125"/>
      <c r="M144" s="129"/>
      <c r="N144" s="125"/>
      <c r="O144" s="126"/>
      <c r="P144" s="125"/>
      <c r="Q144" s="125"/>
      <c r="R144" s="125"/>
      <c r="S144" s="125"/>
      <c r="T144" s="125"/>
      <c r="U144" s="13"/>
      <c r="V144" s="44"/>
      <c r="W144" s="44"/>
      <c r="X144" s="44"/>
      <c r="Y144" s="44"/>
      <c r="Z144" s="125"/>
      <c r="AA144" s="125"/>
      <c r="AB144" s="125"/>
      <c r="AC144" s="128"/>
      <c r="AD144" s="121"/>
      <c r="AE144" s="130"/>
      <c r="AF144" s="125"/>
    </row>
    <row r="145" spans="1:32" ht="15">
      <c r="A145" s="54" t="s">
        <v>31</v>
      </c>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row>
    <row r="146" spans="1:32" ht="12.75">
      <c r="A146" s="16" t="s">
        <v>32</v>
      </c>
      <c r="B146" s="16" t="s">
        <v>157</v>
      </c>
      <c r="C146" s="17" t="s">
        <v>139</v>
      </c>
      <c r="D146" s="18">
        <v>0.21</v>
      </c>
      <c r="E146" s="46">
        <v>0.07</v>
      </c>
      <c r="F146" s="17" t="s">
        <v>128</v>
      </c>
      <c r="G146" s="17" t="s">
        <v>127</v>
      </c>
      <c r="H146" s="18">
        <v>0</v>
      </c>
      <c r="I146" s="17"/>
      <c r="J146" s="18">
        <v>0.06</v>
      </c>
      <c r="K146" s="37">
        <v>0.02</v>
      </c>
      <c r="L146" s="18">
        <f aca="true" t="shared" si="69" ref="L146:L156">SUM(D146)</f>
        <v>0.21</v>
      </c>
      <c r="M146" s="47">
        <f aca="true" t="shared" si="70" ref="M146:M161">SUM(E146-K146)</f>
        <v>0.05</v>
      </c>
      <c r="N146" s="17" t="s">
        <v>108</v>
      </c>
      <c r="O146" s="131">
        <v>0</v>
      </c>
      <c r="P146" s="18">
        <f aca="true" t="shared" si="71" ref="P146:P152">SUM(O146*84)*(1.25)/1000000</f>
        <v>0</v>
      </c>
      <c r="Q146" s="18">
        <f aca="true" t="shared" si="72" ref="Q146:Q152">SUM(O146*84)/1000000</f>
        <v>0</v>
      </c>
      <c r="R146" s="18">
        <f aca="true" t="shared" si="73" ref="R146:R152">SUM(E146*0.06)</f>
        <v>0.004200000000000001</v>
      </c>
      <c r="S146" s="18"/>
      <c r="T146" s="18">
        <f aca="true" t="shared" si="74" ref="T146:T152">SUM(D146+P146)-(R146+S146)</f>
        <v>0.20579999999999998</v>
      </c>
      <c r="U146" s="46">
        <f aca="true" t="shared" si="75" ref="U146:U152">SUM(E146+Q146)-(R146+S146)</f>
        <v>0.06580000000000001</v>
      </c>
      <c r="V146" s="50" t="s">
        <v>131</v>
      </c>
      <c r="W146" s="50" t="s">
        <v>144</v>
      </c>
      <c r="X146" s="50">
        <f>SUM(U146)</f>
        <v>0.06580000000000001</v>
      </c>
      <c r="Y146" s="50"/>
      <c r="Z146" s="17"/>
      <c r="AA146" s="18">
        <f>K146+Z146</f>
        <v>0.02</v>
      </c>
      <c r="AB146" s="18">
        <f aca="true" t="shared" si="76" ref="AB146:AB161">SUM(U146)</f>
        <v>0.06580000000000001</v>
      </c>
      <c r="AC146" s="37">
        <f>SUM(U146*0.7)</f>
        <v>0.046060000000000004</v>
      </c>
      <c r="AD146" s="62">
        <f aca="true" t="shared" si="77" ref="AD146:AD152">SUM(AC146-K146)</f>
        <v>0.026060000000000003</v>
      </c>
      <c r="AE146" s="58">
        <f>SUM(AD146*0.7)</f>
        <v>0.018242</v>
      </c>
      <c r="AF146" s="17" t="s">
        <v>105</v>
      </c>
    </row>
    <row r="147" spans="1:32" ht="12.75">
      <c r="A147" s="16" t="s">
        <v>36</v>
      </c>
      <c r="B147" s="16" t="s">
        <v>157</v>
      </c>
      <c r="C147" s="17" t="s">
        <v>139</v>
      </c>
      <c r="D147" s="18">
        <v>0.23</v>
      </c>
      <c r="E147" s="46">
        <v>0.08</v>
      </c>
      <c r="F147" s="17" t="s">
        <v>128</v>
      </c>
      <c r="G147" s="17" t="s">
        <v>130</v>
      </c>
      <c r="H147" s="18">
        <v>0</v>
      </c>
      <c r="I147" s="17"/>
      <c r="J147" s="18">
        <v>0</v>
      </c>
      <c r="K147" s="37">
        <v>0</v>
      </c>
      <c r="L147" s="18">
        <f t="shared" si="69"/>
        <v>0.23</v>
      </c>
      <c r="M147" s="47">
        <f>SUM(E147-K147)</f>
        <v>0.08</v>
      </c>
      <c r="N147" s="17"/>
      <c r="O147" s="131">
        <v>0</v>
      </c>
      <c r="P147" s="18">
        <f t="shared" si="71"/>
        <v>0</v>
      </c>
      <c r="Q147" s="18">
        <f t="shared" si="72"/>
        <v>0</v>
      </c>
      <c r="R147" s="18">
        <f t="shared" si="73"/>
        <v>0.0048</v>
      </c>
      <c r="S147" s="18"/>
      <c r="T147" s="18">
        <f t="shared" si="74"/>
        <v>0.2252</v>
      </c>
      <c r="U147" s="46">
        <f t="shared" si="75"/>
        <v>0.0752</v>
      </c>
      <c r="V147" s="50" t="s">
        <v>128</v>
      </c>
      <c r="W147" s="50" t="s">
        <v>144</v>
      </c>
      <c r="X147" s="50">
        <v>0</v>
      </c>
      <c r="Y147" s="50"/>
      <c r="Z147" s="17"/>
      <c r="AA147" s="18">
        <f>K147+Z147</f>
        <v>0</v>
      </c>
      <c r="AB147" s="18">
        <f aca="true" t="shared" si="78" ref="AB147:AB152">SUM(U147)</f>
        <v>0.0752</v>
      </c>
      <c r="AC147" s="37">
        <f aca="true" t="shared" si="79" ref="AC147:AC152">SUM(U147*0.7)</f>
        <v>0.05264</v>
      </c>
      <c r="AD147" s="62">
        <f t="shared" si="77"/>
        <v>0.05264</v>
      </c>
      <c r="AE147" s="58">
        <f aca="true" t="shared" si="80" ref="AE147:AE152">SUM(AD147*0.7)</f>
        <v>0.036848</v>
      </c>
      <c r="AF147" s="17" t="s">
        <v>105</v>
      </c>
    </row>
    <row r="148" spans="1:32" ht="12.75">
      <c r="A148" s="16" t="s">
        <v>318</v>
      </c>
      <c r="B148" s="16" t="s">
        <v>157</v>
      </c>
      <c r="C148" s="17" t="s">
        <v>139</v>
      </c>
      <c r="D148" s="18">
        <v>0.12</v>
      </c>
      <c r="E148" s="46">
        <v>0.09</v>
      </c>
      <c r="F148" s="17" t="s">
        <v>169</v>
      </c>
      <c r="G148" s="17" t="s">
        <v>129</v>
      </c>
      <c r="H148" s="18">
        <v>0</v>
      </c>
      <c r="I148" s="17"/>
      <c r="J148" s="18">
        <v>0</v>
      </c>
      <c r="K148" s="37">
        <v>0</v>
      </c>
      <c r="L148" s="18">
        <v>0.12</v>
      </c>
      <c r="M148" s="47"/>
      <c r="N148" s="17"/>
      <c r="O148" s="131">
        <v>0</v>
      </c>
      <c r="P148" s="18">
        <f t="shared" si="71"/>
        <v>0</v>
      </c>
      <c r="Q148" s="18">
        <f t="shared" si="72"/>
        <v>0</v>
      </c>
      <c r="R148" s="18">
        <f t="shared" si="73"/>
        <v>0.005399999999999999</v>
      </c>
      <c r="S148" s="18"/>
      <c r="T148" s="18">
        <f t="shared" si="74"/>
        <v>0.1146</v>
      </c>
      <c r="U148" s="46">
        <f t="shared" si="75"/>
        <v>0.0846</v>
      </c>
      <c r="V148" s="50" t="s">
        <v>128</v>
      </c>
      <c r="W148" s="50" t="s">
        <v>127</v>
      </c>
      <c r="X148" s="50">
        <v>0</v>
      </c>
      <c r="Y148" s="50"/>
      <c r="Z148" s="17"/>
      <c r="AA148" s="18">
        <f>K148+Z148</f>
        <v>0</v>
      </c>
      <c r="AB148" s="18">
        <f t="shared" si="78"/>
        <v>0.0846</v>
      </c>
      <c r="AC148" s="37">
        <f>SUM(U148*0.7)</f>
        <v>0.059219999999999995</v>
      </c>
      <c r="AD148" s="62">
        <f t="shared" si="77"/>
        <v>0.059219999999999995</v>
      </c>
      <c r="AE148" s="58">
        <f t="shared" si="80"/>
        <v>0.04145399999999999</v>
      </c>
      <c r="AF148" s="17" t="s">
        <v>409</v>
      </c>
    </row>
    <row r="149" spans="1:32" ht="25.5">
      <c r="A149" s="16" t="s">
        <v>35</v>
      </c>
      <c r="B149" s="16" t="s">
        <v>157</v>
      </c>
      <c r="C149" s="17" t="s">
        <v>139</v>
      </c>
      <c r="D149" s="18">
        <v>10</v>
      </c>
      <c r="E149" s="46">
        <v>3.9</v>
      </c>
      <c r="F149" s="17" t="s">
        <v>131</v>
      </c>
      <c r="G149" s="17" t="s">
        <v>127</v>
      </c>
      <c r="H149" s="18">
        <v>3.9</v>
      </c>
      <c r="I149" s="17"/>
      <c r="J149" s="18">
        <v>4.62</v>
      </c>
      <c r="K149" s="37">
        <v>2.17</v>
      </c>
      <c r="L149" s="18">
        <v>10</v>
      </c>
      <c r="M149" s="47">
        <f>SUM(E149-K149)</f>
        <v>1.73</v>
      </c>
      <c r="N149" s="17" t="s">
        <v>231</v>
      </c>
      <c r="O149" s="131">
        <v>44851</v>
      </c>
      <c r="P149" s="18">
        <f t="shared" si="71"/>
        <v>4.709355</v>
      </c>
      <c r="Q149" s="18">
        <f t="shared" si="72"/>
        <v>3.767484</v>
      </c>
      <c r="R149" s="18">
        <f t="shared" si="73"/>
        <v>0.23399999999999999</v>
      </c>
      <c r="S149" s="18"/>
      <c r="T149" s="18">
        <f t="shared" si="74"/>
        <v>14.475355</v>
      </c>
      <c r="U149" s="46">
        <f t="shared" si="75"/>
        <v>7.433484</v>
      </c>
      <c r="V149" s="50" t="s">
        <v>131</v>
      </c>
      <c r="W149" s="50" t="s">
        <v>144</v>
      </c>
      <c r="X149" s="50">
        <f aca="true" t="shared" si="81" ref="X149:X158">SUM(U149)</f>
        <v>7.433484</v>
      </c>
      <c r="Y149" s="50"/>
      <c r="Z149" s="18">
        <v>0.55</v>
      </c>
      <c r="AA149" s="18">
        <f>K149+Z149</f>
        <v>2.7199999999999998</v>
      </c>
      <c r="AB149" s="18">
        <f t="shared" si="78"/>
        <v>7.433484</v>
      </c>
      <c r="AC149" s="37">
        <f t="shared" si="79"/>
        <v>5.2034388</v>
      </c>
      <c r="AD149" s="62">
        <f t="shared" si="77"/>
        <v>3.0334388</v>
      </c>
      <c r="AE149" s="58">
        <f t="shared" si="80"/>
        <v>2.1234071599999997</v>
      </c>
      <c r="AF149" s="17" t="s">
        <v>370</v>
      </c>
    </row>
    <row r="150" spans="1:32" ht="25.5">
      <c r="A150" s="16" t="s">
        <v>232</v>
      </c>
      <c r="B150" s="16" t="s">
        <v>157</v>
      </c>
      <c r="C150" s="17" t="s">
        <v>139</v>
      </c>
      <c r="D150" s="18">
        <v>12</v>
      </c>
      <c r="E150" s="46">
        <v>8.75</v>
      </c>
      <c r="F150" s="17" t="s">
        <v>131</v>
      </c>
      <c r="G150" s="17" t="s">
        <v>127</v>
      </c>
      <c r="H150" s="18">
        <v>8.75</v>
      </c>
      <c r="I150" s="17"/>
      <c r="J150" s="18">
        <v>3.01</v>
      </c>
      <c r="K150" s="37">
        <v>3.01</v>
      </c>
      <c r="L150" s="18">
        <f>SUM(D150)</f>
        <v>12</v>
      </c>
      <c r="M150" s="47">
        <f>SUM(E150-K150)</f>
        <v>5.74</v>
      </c>
      <c r="N150" s="17" t="s">
        <v>230</v>
      </c>
      <c r="O150" s="131">
        <v>80684</v>
      </c>
      <c r="P150" s="18">
        <f t="shared" si="71"/>
        <v>8.47182</v>
      </c>
      <c r="Q150" s="18">
        <f t="shared" si="72"/>
        <v>6.777456</v>
      </c>
      <c r="R150" s="18">
        <f t="shared" si="73"/>
        <v>0.525</v>
      </c>
      <c r="S150" s="18"/>
      <c r="T150" s="18">
        <f t="shared" si="74"/>
        <v>19.946820000000002</v>
      </c>
      <c r="U150" s="46">
        <f t="shared" si="75"/>
        <v>15.002456</v>
      </c>
      <c r="V150" s="50" t="s">
        <v>131</v>
      </c>
      <c r="W150" s="50" t="s">
        <v>144</v>
      </c>
      <c r="X150" s="50">
        <f t="shared" si="81"/>
        <v>15.002456</v>
      </c>
      <c r="Y150" s="50"/>
      <c r="Z150" s="18">
        <v>0.3</v>
      </c>
      <c r="AA150" s="18">
        <f>K150+Z150</f>
        <v>3.3099999999999996</v>
      </c>
      <c r="AB150" s="18">
        <f t="shared" si="78"/>
        <v>15.002456</v>
      </c>
      <c r="AC150" s="37">
        <f t="shared" si="79"/>
        <v>10.5017192</v>
      </c>
      <c r="AD150" s="62">
        <f t="shared" si="77"/>
        <v>7.4917192</v>
      </c>
      <c r="AE150" s="58">
        <f t="shared" si="80"/>
        <v>5.24420344</v>
      </c>
      <c r="AF150" s="17" t="s">
        <v>372</v>
      </c>
    </row>
    <row r="151" spans="1:32" ht="25.5">
      <c r="A151" s="16" t="s">
        <v>233</v>
      </c>
      <c r="B151" s="16" t="s">
        <v>157</v>
      </c>
      <c r="C151" s="17" t="s">
        <v>139</v>
      </c>
      <c r="D151" s="18">
        <v>4.5</v>
      </c>
      <c r="E151" s="46">
        <v>4.01</v>
      </c>
      <c r="F151" s="17" t="s">
        <v>131</v>
      </c>
      <c r="G151" s="17" t="s">
        <v>127</v>
      </c>
      <c r="H151" s="18">
        <v>4.01</v>
      </c>
      <c r="I151" s="17"/>
      <c r="J151" s="18">
        <v>3.01</v>
      </c>
      <c r="K151" s="37">
        <v>3.01</v>
      </c>
      <c r="L151" s="18">
        <f>SUM(D151)</f>
        <v>4.5</v>
      </c>
      <c r="M151" s="47">
        <f>SUM(E151-K151)</f>
        <v>1</v>
      </c>
      <c r="N151" s="17" t="s">
        <v>230</v>
      </c>
      <c r="O151" s="131">
        <v>80684</v>
      </c>
      <c r="P151" s="18">
        <f t="shared" si="71"/>
        <v>8.47182</v>
      </c>
      <c r="Q151" s="18">
        <f t="shared" si="72"/>
        <v>6.777456</v>
      </c>
      <c r="R151" s="18">
        <f t="shared" si="73"/>
        <v>0.24059999999999998</v>
      </c>
      <c r="S151" s="18"/>
      <c r="T151" s="18">
        <f t="shared" si="74"/>
        <v>12.731219999999999</v>
      </c>
      <c r="U151" s="46">
        <f t="shared" si="75"/>
        <v>10.546855999999998</v>
      </c>
      <c r="V151" s="50" t="s">
        <v>131</v>
      </c>
      <c r="W151" s="50" t="s">
        <v>144</v>
      </c>
      <c r="X151" s="50">
        <f t="shared" si="81"/>
        <v>10.546855999999998</v>
      </c>
      <c r="Y151" s="50"/>
      <c r="Z151" s="155" t="s">
        <v>149</v>
      </c>
      <c r="AA151" s="18">
        <f>K151</f>
        <v>3.01</v>
      </c>
      <c r="AB151" s="18">
        <f t="shared" si="78"/>
        <v>10.546855999999998</v>
      </c>
      <c r="AC151" s="37">
        <f t="shared" si="79"/>
        <v>7.382799199999998</v>
      </c>
      <c r="AD151" s="62">
        <f t="shared" si="77"/>
        <v>4.372799199999998</v>
      </c>
      <c r="AE151" s="58">
        <f t="shared" si="80"/>
        <v>3.0609594399999986</v>
      </c>
      <c r="AF151" s="17" t="s">
        <v>126</v>
      </c>
    </row>
    <row r="152" spans="1:32" ht="26.25" thickBot="1">
      <c r="A152" s="16" t="s">
        <v>234</v>
      </c>
      <c r="B152" s="16" t="s">
        <v>157</v>
      </c>
      <c r="C152" s="17" t="s">
        <v>139</v>
      </c>
      <c r="D152" s="18">
        <v>12</v>
      </c>
      <c r="E152" s="46">
        <v>5.23</v>
      </c>
      <c r="F152" s="17" t="s">
        <v>131</v>
      </c>
      <c r="G152" s="17" t="s">
        <v>127</v>
      </c>
      <c r="H152" s="18">
        <v>5.23</v>
      </c>
      <c r="I152" s="17"/>
      <c r="J152" s="18">
        <v>3.01</v>
      </c>
      <c r="K152" s="37">
        <v>3.01</v>
      </c>
      <c r="L152" s="18">
        <v>12</v>
      </c>
      <c r="M152" s="47">
        <f>SUM(E152-K152)</f>
        <v>2.2200000000000006</v>
      </c>
      <c r="N152" s="17" t="s">
        <v>117</v>
      </c>
      <c r="O152" s="131">
        <v>80684</v>
      </c>
      <c r="P152" s="18">
        <f t="shared" si="71"/>
        <v>8.47182</v>
      </c>
      <c r="Q152" s="18">
        <f t="shared" si="72"/>
        <v>6.777456</v>
      </c>
      <c r="R152" s="18">
        <f t="shared" si="73"/>
        <v>0.3138</v>
      </c>
      <c r="S152" s="18"/>
      <c r="T152" s="18">
        <f t="shared" si="74"/>
        <v>20.15802</v>
      </c>
      <c r="U152" s="46">
        <f t="shared" si="75"/>
        <v>11.693656</v>
      </c>
      <c r="V152" s="50" t="s">
        <v>131</v>
      </c>
      <c r="W152" s="50" t="s">
        <v>144</v>
      </c>
      <c r="X152" s="50">
        <f t="shared" si="81"/>
        <v>11.693656</v>
      </c>
      <c r="Y152" s="50"/>
      <c r="Z152" s="155" t="s">
        <v>149</v>
      </c>
      <c r="AA152" s="18">
        <f>K152</f>
        <v>3.01</v>
      </c>
      <c r="AB152" s="18">
        <f t="shared" si="78"/>
        <v>11.693656</v>
      </c>
      <c r="AC152" s="37">
        <f t="shared" si="79"/>
        <v>8.1855592</v>
      </c>
      <c r="AD152" s="62">
        <f t="shared" si="77"/>
        <v>5.1755592</v>
      </c>
      <c r="AE152" s="58">
        <f t="shared" si="80"/>
        <v>3.62289144</v>
      </c>
      <c r="AF152" s="17" t="s">
        <v>126</v>
      </c>
    </row>
    <row r="153" spans="1:32" s="97" customFormat="1" ht="13.5" thickBot="1">
      <c r="A153" s="94" t="s">
        <v>214</v>
      </c>
      <c r="B153" s="94"/>
      <c r="C153" s="95">
        <v>7</v>
      </c>
      <c r="D153" s="96">
        <f>SUM(D146:D152)</f>
        <v>39.06</v>
      </c>
      <c r="E153" s="96">
        <f>SUM(E146:E152)</f>
        <v>22.13</v>
      </c>
      <c r="F153" s="95"/>
      <c r="G153" s="95"/>
      <c r="H153" s="96">
        <f>SUM(H146:H152)</f>
        <v>21.89</v>
      </c>
      <c r="I153" s="135">
        <f>(H153/E153)</f>
        <v>0.9891549932218708</v>
      </c>
      <c r="J153" s="96">
        <f>SUM(J146:J152)</f>
        <v>13.709999999999999</v>
      </c>
      <c r="K153" s="96">
        <f>SUM(K146:K152)</f>
        <v>11.219999999999999</v>
      </c>
      <c r="L153" s="96">
        <f>SUM(L146:L152)</f>
        <v>39.06</v>
      </c>
      <c r="M153" s="96">
        <f>SUM(M146:M152)</f>
        <v>10.82</v>
      </c>
      <c r="N153" s="95"/>
      <c r="O153" s="156">
        <f aca="true" t="shared" si="82" ref="O153:U153">SUM(O146:O152)</f>
        <v>286903</v>
      </c>
      <c r="P153" s="96">
        <f t="shared" si="82"/>
        <v>30.124814999999998</v>
      </c>
      <c r="Q153" s="96">
        <f t="shared" si="82"/>
        <v>24.099852000000002</v>
      </c>
      <c r="R153" s="96">
        <f t="shared" si="82"/>
        <v>1.3278</v>
      </c>
      <c r="S153" s="96">
        <f t="shared" si="82"/>
        <v>0</v>
      </c>
      <c r="T153" s="96">
        <f t="shared" si="82"/>
        <v>67.857015</v>
      </c>
      <c r="U153" s="96">
        <f t="shared" si="82"/>
        <v>44.902052</v>
      </c>
      <c r="V153" s="96"/>
      <c r="W153" s="96"/>
      <c r="X153" s="96">
        <f>SUM(X146:X152)</f>
        <v>44.74225200000001</v>
      </c>
      <c r="Y153" s="96"/>
      <c r="Z153" s="96">
        <f aca="true" t="shared" si="83" ref="Z153:AE153">SUM(Z146:Z152)</f>
        <v>0.8500000000000001</v>
      </c>
      <c r="AA153" s="96">
        <f t="shared" si="83"/>
        <v>12.069999999999999</v>
      </c>
      <c r="AB153" s="96">
        <f t="shared" si="83"/>
        <v>44.902052</v>
      </c>
      <c r="AC153" s="96">
        <f t="shared" si="83"/>
        <v>31.4314364</v>
      </c>
      <c r="AD153" s="96">
        <f t="shared" si="83"/>
        <v>20.211436399999997</v>
      </c>
      <c r="AE153" s="96">
        <f t="shared" si="83"/>
        <v>14.148005479999998</v>
      </c>
      <c r="AF153" s="95"/>
    </row>
    <row r="154" spans="1:32" ht="25.5">
      <c r="A154" s="16" t="s">
        <v>235</v>
      </c>
      <c r="B154" s="16" t="s">
        <v>157</v>
      </c>
      <c r="C154" s="17" t="s">
        <v>140</v>
      </c>
      <c r="D154" s="18">
        <v>6</v>
      </c>
      <c r="E154" s="46">
        <v>4.39</v>
      </c>
      <c r="F154" s="17" t="s">
        <v>131</v>
      </c>
      <c r="G154" s="17" t="s">
        <v>127</v>
      </c>
      <c r="H154" s="18">
        <v>4.39</v>
      </c>
      <c r="I154" s="17"/>
      <c r="J154" s="18">
        <v>2.48</v>
      </c>
      <c r="K154" s="37">
        <v>2.48</v>
      </c>
      <c r="L154" s="18">
        <f t="shared" si="69"/>
        <v>6</v>
      </c>
      <c r="M154" s="47">
        <f t="shared" si="70"/>
        <v>1.9099999999999997</v>
      </c>
      <c r="N154" s="17" t="s">
        <v>109</v>
      </c>
      <c r="O154" s="131">
        <v>6655</v>
      </c>
      <c r="P154" s="18">
        <f aca="true" t="shared" si="84" ref="P154:P161">SUM(O154*84)*(1.25)/1000000</f>
        <v>0.698775</v>
      </c>
      <c r="Q154" s="18">
        <f aca="true" t="shared" si="85" ref="Q154:Q161">SUM(O154*84)/1000000</f>
        <v>0.55902</v>
      </c>
      <c r="R154" s="18">
        <f aca="true" t="shared" si="86" ref="R154:R161">SUM(E154*0.06)</f>
        <v>0.26339999999999997</v>
      </c>
      <c r="S154" s="18"/>
      <c r="T154" s="18">
        <f aca="true" t="shared" si="87" ref="T154:T161">SUM(D154+P154)-(R154+S154)</f>
        <v>6.4353750000000005</v>
      </c>
      <c r="U154" s="46">
        <f aca="true" t="shared" si="88" ref="U154:U161">SUM(E154+Q154)-(R154+S154)</f>
        <v>4.68562</v>
      </c>
      <c r="V154" s="50" t="s">
        <v>131</v>
      </c>
      <c r="W154" s="50" t="s">
        <v>144</v>
      </c>
      <c r="X154" s="50">
        <f t="shared" si="81"/>
        <v>4.68562</v>
      </c>
      <c r="Y154" s="50"/>
      <c r="Z154" s="17"/>
      <c r="AA154" s="18">
        <f aca="true" t="shared" si="89" ref="AA154:AA161">K154+Z154</f>
        <v>2.48</v>
      </c>
      <c r="AB154" s="18">
        <f t="shared" si="76"/>
        <v>4.68562</v>
      </c>
      <c r="AC154" s="37">
        <f>SUM(U154*0.7)</f>
        <v>3.279934</v>
      </c>
      <c r="AD154" s="62">
        <f aca="true" t="shared" si="90" ref="AD154:AD161">SUM(AC154-K154)</f>
        <v>0.7999339999999999</v>
      </c>
      <c r="AE154" s="58">
        <f>SUM(AD154*0.7)</f>
        <v>0.5599538</v>
      </c>
      <c r="AF154" s="17">
        <v>1</v>
      </c>
    </row>
    <row r="155" spans="1:32" ht="25.5">
      <c r="A155" s="16" t="s">
        <v>236</v>
      </c>
      <c r="B155" s="16" t="s">
        <v>157</v>
      </c>
      <c r="C155" s="17" t="s">
        <v>140</v>
      </c>
      <c r="D155" s="18">
        <v>10</v>
      </c>
      <c r="E155" s="46">
        <v>5.52</v>
      </c>
      <c r="F155" s="17" t="s">
        <v>131</v>
      </c>
      <c r="G155" s="17" t="s">
        <v>127</v>
      </c>
      <c r="H155" s="18">
        <v>5.52</v>
      </c>
      <c r="I155" s="17"/>
      <c r="J155" s="18">
        <v>2.48</v>
      </c>
      <c r="K155" s="37">
        <v>2.48</v>
      </c>
      <c r="L155" s="18">
        <f t="shared" si="69"/>
        <v>10</v>
      </c>
      <c r="M155" s="47">
        <f t="shared" si="70"/>
        <v>3.0399999999999996</v>
      </c>
      <c r="N155" s="17" t="s">
        <v>109</v>
      </c>
      <c r="O155" s="131">
        <v>6655</v>
      </c>
      <c r="P155" s="18">
        <f t="shared" si="84"/>
        <v>0.698775</v>
      </c>
      <c r="Q155" s="18">
        <f t="shared" si="85"/>
        <v>0.55902</v>
      </c>
      <c r="R155" s="18">
        <f t="shared" si="86"/>
        <v>0.33119999999999994</v>
      </c>
      <c r="S155" s="18"/>
      <c r="T155" s="18">
        <f t="shared" si="87"/>
        <v>10.367574999999999</v>
      </c>
      <c r="U155" s="46">
        <f t="shared" si="88"/>
        <v>5.74782</v>
      </c>
      <c r="V155" s="50" t="s">
        <v>131</v>
      </c>
      <c r="W155" s="50" t="s">
        <v>144</v>
      </c>
      <c r="X155" s="50">
        <f t="shared" si="81"/>
        <v>5.74782</v>
      </c>
      <c r="Y155" s="50"/>
      <c r="Z155" s="18"/>
      <c r="AA155" s="18">
        <f t="shared" si="89"/>
        <v>2.48</v>
      </c>
      <c r="AB155" s="18">
        <f t="shared" si="76"/>
        <v>5.74782</v>
      </c>
      <c r="AC155" s="37">
        <f aca="true" t="shared" si="91" ref="AC155:AC161">SUM(U155*0.7)</f>
        <v>4.023473999999999</v>
      </c>
      <c r="AD155" s="62">
        <f t="shared" si="90"/>
        <v>1.5434739999999993</v>
      </c>
      <c r="AE155" s="58">
        <f aca="true" t="shared" si="92" ref="AE155:AE160">SUM(AD155*0.7)</f>
        <v>1.0804317999999995</v>
      </c>
      <c r="AF155" s="17">
        <v>1</v>
      </c>
    </row>
    <row r="156" spans="1:32" ht="25.5">
      <c r="A156" s="16" t="s">
        <v>237</v>
      </c>
      <c r="B156" s="16" t="s">
        <v>157</v>
      </c>
      <c r="C156" s="17" t="s">
        <v>140</v>
      </c>
      <c r="D156" s="18">
        <v>10</v>
      </c>
      <c r="E156" s="46">
        <v>7.64</v>
      </c>
      <c r="F156" s="17" t="s">
        <v>131</v>
      </c>
      <c r="G156" s="17" t="s">
        <v>127</v>
      </c>
      <c r="H156" s="18">
        <v>7.64</v>
      </c>
      <c r="I156" s="17"/>
      <c r="J156" s="18">
        <v>2.48</v>
      </c>
      <c r="K156" s="37">
        <v>2.48</v>
      </c>
      <c r="L156" s="18">
        <f t="shared" si="69"/>
        <v>10</v>
      </c>
      <c r="M156" s="47">
        <f t="shared" si="70"/>
        <v>5.16</v>
      </c>
      <c r="N156" s="17" t="s">
        <v>109</v>
      </c>
      <c r="O156" s="131">
        <v>6655</v>
      </c>
      <c r="P156" s="18">
        <f t="shared" si="84"/>
        <v>0.698775</v>
      </c>
      <c r="Q156" s="18">
        <f t="shared" si="85"/>
        <v>0.55902</v>
      </c>
      <c r="R156" s="18">
        <f t="shared" si="86"/>
        <v>0.4584</v>
      </c>
      <c r="S156" s="18"/>
      <c r="T156" s="18">
        <f t="shared" si="87"/>
        <v>10.240375</v>
      </c>
      <c r="U156" s="46">
        <f t="shared" si="88"/>
        <v>7.740619999999999</v>
      </c>
      <c r="V156" s="50" t="s">
        <v>131</v>
      </c>
      <c r="W156" s="50" t="s">
        <v>144</v>
      </c>
      <c r="X156" s="50">
        <f t="shared" si="81"/>
        <v>7.740619999999999</v>
      </c>
      <c r="Y156" s="50"/>
      <c r="Z156" s="18"/>
      <c r="AA156" s="18">
        <f t="shared" si="89"/>
        <v>2.48</v>
      </c>
      <c r="AB156" s="18">
        <f t="shared" si="76"/>
        <v>7.740619999999999</v>
      </c>
      <c r="AC156" s="37">
        <f t="shared" si="91"/>
        <v>5.418433999999999</v>
      </c>
      <c r="AD156" s="62">
        <f t="shared" si="90"/>
        <v>2.9384339999999987</v>
      </c>
      <c r="AE156" s="58">
        <f t="shared" si="92"/>
        <v>2.056903799999999</v>
      </c>
      <c r="AF156" s="17" t="s">
        <v>371</v>
      </c>
    </row>
    <row r="157" spans="1:32" ht="25.5">
      <c r="A157" s="16" t="s">
        <v>238</v>
      </c>
      <c r="B157" s="16" t="s">
        <v>157</v>
      </c>
      <c r="C157" s="17" t="s">
        <v>140</v>
      </c>
      <c r="D157" s="18">
        <v>1.7</v>
      </c>
      <c r="E157" s="46">
        <v>1.05</v>
      </c>
      <c r="F157" s="17" t="s">
        <v>128</v>
      </c>
      <c r="G157" s="17" t="s">
        <v>127</v>
      </c>
      <c r="H157" s="18">
        <v>0</v>
      </c>
      <c r="I157" s="17"/>
      <c r="J157" s="18">
        <v>1.05</v>
      </c>
      <c r="K157" s="37">
        <v>1.05</v>
      </c>
      <c r="L157" s="18">
        <f>SUM(D157)</f>
        <v>1.7</v>
      </c>
      <c r="M157" s="47">
        <f t="shared" si="70"/>
        <v>0</v>
      </c>
      <c r="N157" s="17" t="s">
        <v>109</v>
      </c>
      <c r="O157" s="131">
        <v>6655</v>
      </c>
      <c r="P157" s="18">
        <f t="shared" si="84"/>
        <v>0.698775</v>
      </c>
      <c r="Q157" s="18">
        <f t="shared" si="85"/>
        <v>0.55902</v>
      </c>
      <c r="R157" s="18">
        <f t="shared" si="86"/>
        <v>0.063</v>
      </c>
      <c r="S157" s="18"/>
      <c r="T157" s="18">
        <f t="shared" si="87"/>
        <v>2.335775</v>
      </c>
      <c r="U157" s="46">
        <f t="shared" si="88"/>
        <v>1.5460200000000002</v>
      </c>
      <c r="V157" s="100" t="s">
        <v>222</v>
      </c>
      <c r="W157" s="100" t="s">
        <v>222</v>
      </c>
      <c r="X157" s="50">
        <f t="shared" si="81"/>
        <v>1.5460200000000002</v>
      </c>
      <c r="Y157" s="100"/>
      <c r="Z157" s="17"/>
      <c r="AA157" s="18">
        <f t="shared" si="89"/>
        <v>1.05</v>
      </c>
      <c r="AB157" s="18">
        <f t="shared" si="76"/>
        <v>1.5460200000000002</v>
      </c>
      <c r="AC157" s="37">
        <f t="shared" si="91"/>
        <v>1.082214</v>
      </c>
      <c r="AD157" s="62">
        <f t="shared" si="90"/>
        <v>0.032213999999999965</v>
      </c>
      <c r="AE157" s="58">
        <f t="shared" si="92"/>
        <v>0.022549799999999974</v>
      </c>
      <c r="AF157" s="17">
        <v>1</v>
      </c>
    </row>
    <row r="158" spans="1:32" ht="25.5">
      <c r="A158" s="16" t="s">
        <v>304</v>
      </c>
      <c r="B158" s="16" t="s">
        <v>157</v>
      </c>
      <c r="C158" s="17" t="s">
        <v>140</v>
      </c>
      <c r="D158" s="18">
        <v>96</v>
      </c>
      <c r="E158" s="46">
        <v>58.65</v>
      </c>
      <c r="F158" s="17" t="s">
        <v>131</v>
      </c>
      <c r="G158" s="17" t="s">
        <v>127</v>
      </c>
      <c r="H158" s="18">
        <v>58.65</v>
      </c>
      <c r="I158" s="17"/>
      <c r="J158" s="18">
        <v>23.58</v>
      </c>
      <c r="K158" s="37">
        <v>10.45</v>
      </c>
      <c r="L158" s="18">
        <f>SUM(D158)</f>
        <v>96</v>
      </c>
      <c r="M158" s="47">
        <f t="shared" si="70"/>
        <v>48.2</v>
      </c>
      <c r="N158" s="17" t="s">
        <v>352</v>
      </c>
      <c r="O158" s="131">
        <v>111714</v>
      </c>
      <c r="P158" s="18">
        <f t="shared" si="84"/>
        <v>11.72997</v>
      </c>
      <c r="Q158" s="18">
        <f t="shared" si="85"/>
        <v>9.383976</v>
      </c>
      <c r="R158" s="18">
        <f t="shared" si="86"/>
        <v>3.5189999999999997</v>
      </c>
      <c r="S158" s="18">
        <v>5</v>
      </c>
      <c r="T158" s="18">
        <f t="shared" si="87"/>
        <v>99.21096999999999</v>
      </c>
      <c r="U158" s="46">
        <f t="shared" si="88"/>
        <v>59.514976</v>
      </c>
      <c r="V158" s="50" t="s">
        <v>131</v>
      </c>
      <c r="W158" s="50" t="s">
        <v>144</v>
      </c>
      <c r="X158" s="50">
        <f t="shared" si="81"/>
        <v>59.514976</v>
      </c>
      <c r="Y158" s="50"/>
      <c r="Z158" s="18">
        <v>0</v>
      </c>
      <c r="AA158" s="18">
        <f t="shared" si="89"/>
        <v>10.45</v>
      </c>
      <c r="AB158" s="18">
        <f t="shared" si="76"/>
        <v>59.514976</v>
      </c>
      <c r="AC158" s="37">
        <f t="shared" si="91"/>
        <v>41.660483199999994</v>
      </c>
      <c r="AD158" s="62">
        <f t="shared" si="90"/>
        <v>31.210483199999995</v>
      </c>
      <c r="AE158" s="58">
        <f t="shared" si="92"/>
        <v>21.847338239999996</v>
      </c>
      <c r="AF158" s="17" t="s">
        <v>373</v>
      </c>
    </row>
    <row r="159" spans="1:32" ht="12.75">
      <c r="A159" s="16" t="s">
        <v>33</v>
      </c>
      <c r="B159" s="16" t="s">
        <v>157</v>
      </c>
      <c r="C159" s="17" t="s">
        <v>140</v>
      </c>
      <c r="D159" s="18">
        <v>1.2</v>
      </c>
      <c r="E159" s="46">
        <v>0.42</v>
      </c>
      <c r="F159" s="17" t="s">
        <v>128</v>
      </c>
      <c r="G159" s="17" t="s">
        <v>127</v>
      </c>
      <c r="H159" s="18">
        <v>0</v>
      </c>
      <c r="I159" s="17"/>
      <c r="J159" s="18">
        <v>1.2</v>
      </c>
      <c r="K159" s="37">
        <v>0.29</v>
      </c>
      <c r="L159" s="18">
        <f>SUM(D159)</f>
        <v>1.2</v>
      </c>
      <c r="M159" s="47">
        <f t="shared" si="70"/>
        <v>0.13</v>
      </c>
      <c r="N159" s="17" t="s">
        <v>108</v>
      </c>
      <c r="O159" s="131">
        <v>0</v>
      </c>
      <c r="P159" s="18">
        <f t="shared" si="84"/>
        <v>0</v>
      </c>
      <c r="Q159" s="18">
        <f t="shared" si="85"/>
        <v>0</v>
      </c>
      <c r="R159" s="18">
        <f t="shared" si="86"/>
        <v>0.025199999999999997</v>
      </c>
      <c r="S159" s="18"/>
      <c r="T159" s="18">
        <f t="shared" si="87"/>
        <v>1.1748</v>
      </c>
      <c r="U159" s="46">
        <f t="shared" si="88"/>
        <v>0.3948</v>
      </c>
      <c r="V159" s="50" t="s">
        <v>128</v>
      </c>
      <c r="W159" s="50" t="s">
        <v>144</v>
      </c>
      <c r="X159" s="50">
        <v>0</v>
      </c>
      <c r="Y159" s="50"/>
      <c r="Z159" s="17"/>
      <c r="AA159" s="18">
        <f t="shared" si="89"/>
        <v>0.29</v>
      </c>
      <c r="AB159" s="18">
        <f t="shared" si="76"/>
        <v>0.3948</v>
      </c>
      <c r="AC159" s="37">
        <f t="shared" si="91"/>
        <v>0.27636</v>
      </c>
      <c r="AD159" s="62">
        <f t="shared" si="90"/>
        <v>-0.013639999999999985</v>
      </c>
      <c r="AE159" s="58">
        <f t="shared" si="92"/>
        <v>-0.009547999999999989</v>
      </c>
      <c r="AF159" s="17" t="s">
        <v>281</v>
      </c>
    </row>
    <row r="160" spans="1:32" ht="12.75">
      <c r="A160" s="16" t="s">
        <v>34</v>
      </c>
      <c r="B160" s="16" t="s">
        <v>157</v>
      </c>
      <c r="C160" s="17" t="s">
        <v>140</v>
      </c>
      <c r="D160" s="18">
        <v>0.4</v>
      </c>
      <c r="E160" s="46">
        <v>0.26</v>
      </c>
      <c r="F160" s="17" t="s">
        <v>128</v>
      </c>
      <c r="G160" s="17" t="s">
        <v>127</v>
      </c>
      <c r="H160" s="18">
        <v>0</v>
      </c>
      <c r="I160" s="17"/>
      <c r="J160" s="18">
        <v>0.4</v>
      </c>
      <c r="K160" s="37">
        <v>0.11</v>
      </c>
      <c r="L160" s="18">
        <f>SUM(D160)</f>
        <v>0.4</v>
      </c>
      <c r="M160" s="47">
        <f t="shared" si="70"/>
        <v>0.15000000000000002</v>
      </c>
      <c r="N160" s="17" t="s">
        <v>110</v>
      </c>
      <c r="O160" s="131">
        <v>0</v>
      </c>
      <c r="P160" s="18">
        <f t="shared" si="84"/>
        <v>0</v>
      </c>
      <c r="Q160" s="18">
        <f t="shared" si="85"/>
        <v>0</v>
      </c>
      <c r="R160" s="18">
        <f t="shared" si="86"/>
        <v>0.0156</v>
      </c>
      <c r="S160" s="18"/>
      <c r="T160" s="18">
        <f t="shared" si="87"/>
        <v>0.3844</v>
      </c>
      <c r="U160" s="46">
        <f t="shared" si="88"/>
        <v>0.2444</v>
      </c>
      <c r="V160" s="50" t="s">
        <v>128</v>
      </c>
      <c r="W160" s="50" t="s">
        <v>127</v>
      </c>
      <c r="X160" s="50">
        <v>0</v>
      </c>
      <c r="Y160" s="50"/>
      <c r="Z160" s="17"/>
      <c r="AA160" s="18">
        <f t="shared" si="89"/>
        <v>0.11</v>
      </c>
      <c r="AB160" s="18">
        <f t="shared" si="76"/>
        <v>0.2444</v>
      </c>
      <c r="AC160" s="37">
        <f t="shared" si="91"/>
        <v>0.17107999999999998</v>
      </c>
      <c r="AD160" s="62">
        <f t="shared" si="90"/>
        <v>0.06107999999999998</v>
      </c>
      <c r="AE160" s="58">
        <f t="shared" si="92"/>
        <v>0.04275599999999998</v>
      </c>
      <c r="AF160" s="17" t="s">
        <v>105</v>
      </c>
    </row>
    <row r="161" spans="1:32" ht="13.5" thickBot="1">
      <c r="A161" s="16" t="s">
        <v>37</v>
      </c>
      <c r="B161" s="16" t="s">
        <v>157</v>
      </c>
      <c r="C161" s="17" t="s">
        <v>140</v>
      </c>
      <c r="D161" s="18">
        <v>0.19</v>
      </c>
      <c r="E161" s="46">
        <v>0.15</v>
      </c>
      <c r="F161" s="17" t="s">
        <v>128</v>
      </c>
      <c r="G161" s="17" t="s">
        <v>129</v>
      </c>
      <c r="H161" s="18">
        <v>0</v>
      </c>
      <c r="I161" s="17"/>
      <c r="J161" s="18">
        <v>0</v>
      </c>
      <c r="K161" s="37">
        <v>0</v>
      </c>
      <c r="L161" s="18">
        <f>SUM(D161)</f>
        <v>0.19</v>
      </c>
      <c r="M161" s="47">
        <f t="shared" si="70"/>
        <v>0.15</v>
      </c>
      <c r="N161" s="17"/>
      <c r="O161" s="131">
        <v>23</v>
      </c>
      <c r="P161" s="18">
        <f t="shared" si="84"/>
        <v>0.002415</v>
      </c>
      <c r="Q161" s="18">
        <f t="shared" si="85"/>
        <v>0.001932</v>
      </c>
      <c r="R161" s="18">
        <f t="shared" si="86"/>
        <v>0.009</v>
      </c>
      <c r="S161" s="18"/>
      <c r="T161" s="18">
        <f t="shared" si="87"/>
        <v>0.183415</v>
      </c>
      <c r="U161" s="46">
        <f t="shared" si="88"/>
        <v>0.14293199999999998</v>
      </c>
      <c r="V161" s="50" t="s">
        <v>128</v>
      </c>
      <c r="W161" s="50" t="s">
        <v>144</v>
      </c>
      <c r="X161" s="50">
        <v>0</v>
      </c>
      <c r="Y161" s="50"/>
      <c r="Z161" s="17"/>
      <c r="AA161" s="18">
        <f t="shared" si="89"/>
        <v>0</v>
      </c>
      <c r="AB161" s="18">
        <f t="shared" si="76"/>
        <v>0.14293199999999998</v>
      </c>
      <c r="AC161" s="37">
        <f t="shared" si="91"/>
        <v>0.10005239999999997</v>
      </c>
      <c r="AD161" s="62">
        <f t="shared" si="90"/>
        <v>0.10005239999999997</v>
      </c>
      <c r="AE161" s="58">
        <f>SUM(AD161*0.75)</f>
        <v>0.07503929999999998</v>
      </c>
      <c r="AF161" s="17" t="s">
        <v>105</v>
      </c>
    </row>
    <row r="162" spans="1:32" ht="13.5" thickBot="1">
      <c r="A162" s="94" t="s">
        <v>215</v>
      </c>
      <c r="B162" s="94"/>
      <c r="C162" s="95">
        <v>8</v>
      </c>
      <c r="D162" s="96">
        <f>SUM(D154:D161)</f>
        <v>125.49000000000001</v>
      </c>
      <c r="E162" s="96">
        <f>SUM(E154:E161)</f>
        <v>78.08000000000001</v>
      </c>
      <c r="F162" s="96"/>
      <c r="G162" s="96"/>
      <c r="H162" s="96">
        <f>SUM(H154:H161)</f>
        <v>76.2</v>
      </c>
      <c r="I162" s="135">
        <f>(H162/E162)</f>
        <v>0.9759221311475409</v>
      </c>
      <c r="J162" s="96">
        <f>SUM(J154:J161)</f>
        <v>33.67</v>
      </c>
      <c r="K162" s="96">
        <f>SUM(K154:K161)</f>
        <v>19.339999999999996</v>
      </c>
      <c r="L162" s="96">
        <f>SUM(L154:L161)</f>
        <v>125.49000000000001</v>
      </c>
      <c r="M162" s="96">
        <f>SUM(M154:M161)</f>
        <v>58.74</v>
      </c>
      <c r="N162" s="96"/>
      <c r="O162" s="156">
        <f aca="true" t="shared" si="93" ref="O162:U162">SUM(O154:O161)</f>
        <v>138357</v>
      </c>
      <c r="P162" s="96">
        <f t="shared" si="93"/>
        <v>14.527484999999999</v>
      </c>
      <c r="Q162" s="96">
        <f t="shared" si="93"/>
        <v>11.621988</v>
      </c>
      <c r="R162" s="96">
        <f t="shared" si="93"/>
        <v>4.6848</v>
      </c>
      <c r="S162" s="96">
        <f t="shared" si="93"/>
        <v>5</v>
      </c>
      <c r="T162" s="96">
        <f t="shared" si="93"/>
        <v>130.332685</v>
      </c>
      <c r="U162" s="96">
        <f t="shared" si="93"/>
        <v>80.017188</v>
      </c>
      <c r="V162" s="96"/>
      <c r="W162" s="96"/>
      <c r="X162" s="96">
        <f>SUM(X154:X161)</f>
        <v>79.235056</v>
      </c>
      <c r="Y162" s="96"/>
      <c r="Z162" s="96">
        <f aca="true" t="shared" si="94" ref="Z162:AE162">SUM(Z154:Z161)</f>
        <v>0</v>
      </c>
      <c r="AA162" s="96">
        <f t="shared" si="94"/>
        <v>19.339999999999996</v>
      </c>
      <c r="AB162" s="96">
        <f t="shared" si="94"/>
        <v>80.017188</v>
      </c>
      <c r="AC162" s="96">
        <f t="shared" si="94"/>
        <v>56.01203159999999</v>
      </c>
      <c r="AD162" s="96">
        <f t="shared" si="94"/>
        <v>36.67203159999999</v>
      </c>
      <c r="AE162" s="96">
        <f t="shared" si="94"/>
        <v>25.675424739999997</v>
      </c>
      <c r="AF162" s="95"/>
    </row>
    <row r="163" spans="1:32" s="97" customFormat="1" ht="15">
      <c r="A163" s="14" t="s">
        <v>38</v>
      </c>
      <c r="B163" s="14"/>
      <c r="C163" s="15"/>
      <c r="D163" s="51"/>
      <c r="E163" s="51"/>
      <c r="F163" s="15"/>
      <c r="G163" s="15"/>
      <c r="H163" s="51"/>
      <c r="I163" s="15"/>
      <c r="J163" s="51"/>
      <c r="K163" s="51"/>
      <c r="L163" s="51"/>
      <c r="M163" s="52"/>
      <c r="N163" s="15"/>
      <c r="O163" s="67"/>
      <c r="P163" s="15"/>
      <c r="Q163" s="15"/>
      <c r="R163" s="15"/>
      <c r="S163" s="15"/>
      <c r="T163" s="15"/>
      <c r="U163" s="15"/>
      <c r="V163" s="15"/>
      <c r="W163" s="15"/>
      <c r="X163" s="15"/>
      <c r="Y163" s="15"/>
      <c r="Z163" s="15"/>
      <c r="AA163" s="52"/>
      <c r="AB163" s="15"/>
      <c r="AC163" s="15"/>
      <c r="AD163" s="15"/>
      <c r="AE163" s="15"/>
      <c r="AF163" s="15"/>
    </row>
    <row r="164" spans="1:32" ht="15">
      <c r="A164" s="16" t="s">
        <v>13</v>
      </c>
      <c r="B164" s="17"/>
      <c r="C164" s="17">
        <f>SUM(C153,C162)</f>
        <v>15</v>
      </c>
      <c r="D164" s="17">
        <f>SUM(D153,D162)</f>
        <v>164.55</v>
      </c>
      <c r="E164" s="46">
        <f>SUM(E153,E162)</f>
        <v>100.21000000000001</v>
      </c>
      <c r="F164" s="17"/>
      <c r="G164" s="17"/>
      <c r="H164" s="18">
        <f>SUM(H153,H162)</f>
        <v>98.09</v>
      </c>
      <c r="I164" s="17"/>
      <c r="J164" s="18">
        <f>SUM(J153,J162)</f>
        <v>47.38</v>
      </c>
      <c r="K164" s="37">
        <f>SUM(K153,K162)</f>
        <v>30.559999999999995</v>
      </c>
      <c r="L164" s="18">
        <f>SUM(L153,L162)</f>
        <v>164.55</v>
      </c>
      <c r="M164" s="47">
        <f>SUM(M153,M162)</f>
        <v>69.56</v>
      </c>
      <c r="N164" s="17"/>
      <c r="O164" s="157">
        <f aca="true" t="shared" si="95" ref="O164:U164">SUM(O153,O162)</f>
        <v>425260</v>
      </c>
      <c r="P164" s="18">
        <f t="shared" si="95"/>
        <v>44.6523</v>
      </c>
      <c r="Q164" s="18">
        <f t="shared" si="95"/>
        <v>35.72184</v>
      </c>
      <c r="R164" s="18">
        <f t="shared" si="95"/>
        <v>6.0126</v>
      </c>
      <c r="S164" s="18">
        <f t="shared" si="95"/>
        <v>5</v>
      </c>
      <c r="T164" s="18">
        <f t="shared" si="95"/>
        <v>198.18970000000002</v>
      </c>
      <c r="U164" s="46">
        <f t="shared" si="95"/>
        <v>124.91924</v>
      </c>
      <c r="V164" s="43"/>
      <c r="W164" s="43"/>
      <c r="X164" s="18">
        <f>SUM(X153,X162)</f>
        <v>123.97730800000001</v>
      </c>
      <c r="Y164" s="43"/>
      <c r="Z164" s="18">
        <f aca="true" t="shared" si="96" ref="Z164:AE164">SUM(Z153,Z162)</f>
        <v>0.8500000000000001</v>
      </c>
      <c r="AA164" s="18">
        <f t="shared" si="96"/>
        <v>31.409999999999997</v>
      </c>
      <c r="AB164" s="18">
        <f t="shared" si="96"/>
        <v>124.91924</v>
      </c>
      <c r="AC164" s="37">
        <f t="shared" si="96"/>
        <v>87.443468</v>
      </c>
      <c r="AD164" s="62">
        <f t="shared" si="96"/>
        <v>56.883467999999986</v>
      </c>
      <c r="AE164" s="58">
        <f t="shared" si="96"/>
        <v>39.82343021999999</v>
      </c>
      <c r="AF164" s="20"/>
    </row>
    <row r="165" spans="1:32" ht="15.75" thickBot="1">
      <c r="A165" s="22" t="s">
        <v>14</v>
      </c>
      <c r="B165" s="22"/>
      <c r="C165" s="23">
        <v>0</v>
      </c>
      <c r="D165" s="24">
        <v>0</v>
      </c>
      <c r="E165" s="132">
        <v>0</v>
      </c>
      <c r="F165" s="23"/>
      <c r="G165" s="23"/>
      <c r="H165" s="24">
        <v>0</v>
      </c>
      <c r="I165" s="23"/>
      <c r="J165" s="24">
        <v>0</v>
      </c>
      <c r="K165" s="133">
        <v>0</v>
      </c>
      <c r="L165" s="24">
        <v>0</v>
      </c>
      <c r="M165" s="47">
        <f>SUM(E165-K165)</f>
        <v>0</v>
      </c>
      <c r="N165" s="23"/>
      <c r="O165" s="69">
        <v>0</v>
      </c>
      <c r="P165" s="24">
        <v>0</v>
      </c>
      <c r="Q165" s="24">
        <v>0</v>
      </c>
      <c r="R165" s="24">
        <v>0</v>
      </c>
      <c r="S165" s="24">
        <v>0</v>
      </c>
      <c r="T165" s="24">
        <v>0</v>
      </c>
      <c r="U165" s="132">
        <v>0</v>
      </c>
      <c r="V165" s="45"/>
      <c r="W165" s="45"/>
      <c r="X165" s="24">
        <v>0</v>
      </c>
      <c r="Y165" s="45"/>
      <c r="Z165" s="24">
        <v>0</v>
      </c>
      <c r="AA165" s="18">
        <f>K165+Z165</f>
        <v>0</v>
      </c>
      <c r="AB165" s="24">
        <v>0</v>
      </c>
      <c r="AC165" s="133">
        <v>0</v>
      </c>
      <c r="AD165" s="117">
        <v>0</v>
      </c>
      <c r="AE165" s="59">
        <v>0</v>
      </c>
      <c r="AF165" s="25"/>
    </row>
    <row r="166" spans="1:32" ht="15.75" thickBot="1">
      <c r="A166" s="26" t="s">
        <v>15</v>
      </c>
      <c r="B166" s="98"/>
      <c r="C166" s="98">
        <f>SUM(C164:C165)</f>
        <v>15</v>
      </c>
      <c r="D166" s="28">
        <f>SUM(D164:D165)</f>
        <v>164.55</v>
      </c>
      <c r="E166" s="134">
        <f>SUM(E164:E165)</f>
        <v>100.21000000000001</v>
      </c>
      <c r="F166" s="27"/>
      <c r="G166" s="27"/>
      <c r="H166" s="28">
        <f>SUM(H164:H165)</f>
        <v>98.09</v>
      </c>
      <c r="I166" s="135">
        <f>(H166/E166)</f>
        <v>0.9788444267039217</v>
      </c>
      <c r="J166" s="28">
        <f>SUM(J164:J165)</f>
        <v>47.38</v>
      </c>
      <c r="K166" s="136">
        <f>SUM(K164:K165)</f>
        <v>30.559999999999995</v>
      </c>
      <c r="L166" s="28">
        <f>SUM(L164:L165)</f>
        <v>164.55</v>
      </c>
      <c r="M166" s="48">
        <f>SUM(M164:M165)</f>
        <v>69.56</v>
      </c>
      <c r="N166" s="27"/>
      <c r="O166" s="158">
        <f aca="true" t="shared" si="97" ref="O166:U166">SUM(O164:O165)</f>
        <v>425260</v>
      </c>
      <c r="P166" s="28">
        <f t="shared" si="97"/>
        <v>44.6523</v>
      </c>
      <c r="Q166" s="28">
        <f t="shared" si="97"/>
        <v>35.72184</v>
      </c>
      <c r="R166" s="33">
        <f t="shared" si="97"/>
        <v>6.0126</v>
      </c>
      <c r="S166" s="33">
        <f t="shared" si="97"/>
        <v>5</v>
      </c>
      <c r="T166" s="33">
        <f t="shared" si="97"/>
        <v>198.18970000000002</v>
      </c>
      <c r="U166" s="134">
        <f t="shared" si="97"/>
        <v>124.91924</v>
      </c>
      <c r="V166" s="33"/>
      <c r="W166" s="33"/>
      <c r="X166" s="33">
        <f>SUM(X164:X165)</f>
        <v>123.97730800000001</v>
      </c>
      <c r="Y166" s="135">
        <f>SUM(X166/U166)</f>
        <v>0.9924596723451088</v>
      </c>
      <c r="Z166" s="33">
        <f aca="true" t="shared" si="98" ref="Z166:AE166">SUM(Z164:Z165)</f>
        <v>0.8500000000000001</v>
      </c>
      <c r="AA166" s="33">
        <f t="shared" si="98"/>
        <v>31.409999999999997</v>
      </c>
      <c r="AB166" s="33">
        <f t="shared" si="98"/>
        <v>124.91924</v>
      </c>
      <c r="AC166" s="136">
        <f t="shared" si="98"/>
        <v>87.443468</v>
      </c>
      <c r="AD166" s="118">
        <f t="shared" si="98"/>
        <v>56.883467999999986</v>
      </c>
      <c r="AE166" s="60">
        <f t="shared" si="98"/>
        <v>39.82343021999999</v>
      </c>
      <c r="AF166" s="31"/>
    </row>
    <row r="167" spans="1:32" ht="14.25">
      <c r="A167" s="77" t="s">
        <v>182</v>
      </c>
      <c r="B167" s="77"/>
      <c r="C167" s="76"/>
      <c r="D167" s="75"/>
      <c r="E167" s="75"/>
      <c r="F167" s="76"/>
      <c r="G167" s="76"/>
      <c r="H167" s="76"/>
      <c r="I167" s="76"/>
      <c r="J167" s="75"/>
      <c r="K167" s="76"/>
      <c r="L167" s="75"/>
      <c r="M167" s="76"/>
      <c r="N167" s="76"/>
      <c r="O167" s="73">
        <v>558718</v>
      </c>
      <c r="P167" s="75"/>
      <c r="Q167" s="75"/>
      <c r="R167" s="75"/>
      <c r="S167" s="75"/>
      <c r="T167" s="75"/>
      <c r="U167" s="75"/>
      <c r="V167" s="75"/>
      <c r="W167" s="75"/>
      <c r="X167" s="75"/>
      <c r="Y167" s="75"/>
      <c r="Z167" s="75"/>
      <c r="AA167" s="75"/>
      <c r="AB167" s="75"/>
      <c r="AC167" s="75"/>
      <c r="AD167" s="75"/>
      <c r="AE167" s="75"/>
      <c r="AF167" s="5" t="s">
        <v>265</v>
      </c>
    </row>
    <row r="168" spans="1:32" ht="12.75">
      <c r="A168" s="77" t="s">
        <v>173</v>
      </c>
      <c r="B168" s="77"/>
      <c r="C168" s="76"/>
      <c r="D168" s="75"/>
      <c r="E168" s="75"/>
      <c r="F168" s="76"/>
      <c r="G168" s="76"/>
      <c r="H168" s="76"/>
      <c r="I168" s="76"/>
      <c r="J168" s="75"/>
      <c r="K168" s="76"/>
      <c r="L168" s="75"/>
      <c r="M168" s="76"/>
      <c r="N168" s="76"/>
      <c r="O168" s="74">
        <f>SUM(O166/O167)</f>
        <v>0.7611353133423301</v>
      </c>
      <c r="P168" s="75"/>
      <c r="Q168" s="75"/>
      <c r="R168" s="75"/>
      <c r="S168" s="75"/>
      <c r="T168" s="75"/>
      <c r="U168" s="75"/>
      <c r="V168" s="75"/>
      <c r="W168" s="75"/>
      <c r="X168" s="75"/>
      <c r="Y168" s="75"/>
      <c r="Z168" s="75"/>
      <c r="AA168" s="75"/>
      <c r="AB168" s="75"/>
      <c r="AC168" s="75"/>
      <c r="AD168" s="75"/>
      <c r="AE168" s="75"/>
      <c r="AF168" s="5"/>
    </row>
    <row r="169" spans="1:32" ht="12.75">
      <c r="A169" s="77"/>
      <c r="B169" s="77"/>
      <c r="C169" s="76"/>
      <c r="D169" s="75"/>
      <c r="E169" s="75"/>
      <c r="F169" s="76"/>
      <c r="G169" s="76"/>
      <c r="H169" s="76"/>
      <c r="I169" s="76"/>
      <c r="J169" s="75"/>
      <c r="K169" s="76"/>
      <c r="L169" s="75"/>
      <c r="M169" s="76"/>
      <c r="N169" s="76"/>
      <c r="O169" s="83"/>
      <c r="P169" s="75"/>
      <c r="Q169" s="75"/>
      <c r="R169" s="75"/>
      <c r="S169" s="75"/>
      <c r="T169" s="75"/>
      <c r="U169" s="75"/>
      <c r="V169" s="75"/>
      <c r="W169" s="75"/>
      <c r="X169" s="75"/>
      <c r="Y169" s="75"/>
      <c r="Z169" s="75"/>
      <c r="AA169" s="75"/>
      <c r="AB169" s="75"/>
      <c r="AC169" s="75"/>
      <c r="AD169" s="75"/>
      <c r="AE169" s="75"/>
      <c r="AF169" s="5"/>
    </row>
    <row r="170" spans="1:32" ht="12.75">
      <c r="A170" s="77"/>
      <c r="B170" s="77"/>
      <c r="C170" s="76"/>
      <c r="D170" s="75"/>
      <c r="E170" s="75"/>
      <c r="F170" s="76"/>
      <c r="G170" s="76"/>
      <c r="H170" s="76"/>
      <c r="I170" s="76"/>
      <c r="J170" s="75"/>
      <c r="K170" s="76"/>
      <c r="L170" s="75"/>
      <c r="M170" s="76"/>
      <c r="N170" s="76"/>
      <c r="O170" s="83"/>
      <c r="P170" s="75"/>
      <c r="Q170" s="75"/>
      <c r="R170" s="75"/>
      <c r="S170" s="75"/>
      <c r="T170" s="75"/>
      <c r="U170" s="75"/>
      <c r="V170" s="75"/>
      <c r="W170" s="75"/>
      <c r="X170" s="75"/>
      <c r="Y170" s="75"/>
      <c r="Z170" s="75"/>
      <c r="AA170" s="75"/>
      <c r="AB170" s="75"/>
      <c r="AC170" s="75"/>
      <c r="AD170" s="75"/>
      <c r="AE170" s="75"/>
      <c r="AF170" s="5"/>
    </row>
    <row r="171" spans="1:32" ht="15" customHeight="1">
      <c r="A171" s="206"/>
      <c r="B171" s="64"/>
      <c r="C171" s="10"/>
      <c r="D171" s="198" t="s">
        <v>285</v>
      </c>
      <c r="E171" s="198"/>
      <c r="F171" s="199" t="s">
        <v>286</v>
      </c>
      <c r="G171" s="199"/>
      <c r="H171" s="113" t="s">
        <v>131</v>
      </c>
      <c r="I171" s="109">
        <v>2010</v>
      </c>
      <c r="J171" s="208" t="s">
        <v>287</v>
      </c>
      <c r="K171" s="208"/>
      <c r="L171" s="209" t="s">
        <v>288</v>
      </c>
      <c r="M171" s="209"/>
      <c r="N171" s="10">
        <v>2010</v>
      </c>
      <c r="O171" s="68" t="s">
        <v>289</v>
      </c>
      <c r="P171" s="199" t="s">
        <v>290</v>
      </c>
      <c r="Q171" s="199"/>
      <c r="R171" s="199" t="s">
        <v>291</v>
      </c>
      <c r="S171" s="199"/>
      <c r="T171" s="198" t="s">
        <v>292</v>
      </c>
      <c r="U171" s="198"/>
      <c r="V171" s="199" t="s">
        <v>293</v>
      </c>
      <c r="W171" s="199"/>
      <c r="X171" s="114" t="s">
        <v>298</v>
      </c>
      <c r="Y171" s="114" t="s">
        <v>299</v>
      </c>
      <c r="Z171" s="200" t="s">
        <v>294</v>
      </c>
      <c r="AA171" s="40">
        <v>2020</v>
      </c>
      <c r="AB171" s="207" t="s">
        <v>295</v>
      </c>
      <c r="AC171" s="208"/>
      <c r="AD171" s="61" t="s">
        <v>296</v>
      </c>
      <c r="AE171" s="57" t="s">
        <v>296</v>
      </c>
      <c r="AF171" s="10"/>
    </row>
    <row r="172" spans="1:32" ht="12.75">
      <c r="A172" s="206"/>
      <c r="B172" s="66" t="s">
        <v>153</v>
      </c>
      <c r="C172" s="10" t="s">
        <v>0</v>
      </c>
      <c r="D172" s="198"/>
      <c r="E172" s="198"/>
      <c r="F172" s="199"/>
      <c r="G172" s="199"/>
      <c r="H172" s="113"/>
      <c r="I172" s="109" t="s">
        <v>131</v>
      </c>
      <c r="J172" s="208"/>
      <c r="K172" s="208"/>
      <c r="L172" s="209"/>
      <c r="M172" s="209"/>
      <c r="N172" s="10" t="s">
        <v>2</v>
      </c>
      <c r="O172" s="68" t="s">
        <v>161</v>
      </c>
      <c r="P172" s="199"/>
      <c r="Q172" s="199"/>
      <c r="R172" s="199"/>
      <c r="S172" s="199"/>
      <c r="T172" s="198"/>
      <c r="U172" s="198"/>
      <c r="V172" s="199"/>
      <c r="W172" s="199"/>
      <c r="X172" s="114" t="s">
        <v>131</v>
      </c>
      <c r="Y172" s="114"/>
      <c r="Z172" s="201"/>
      <c r="AA172" s="41" t="s">
        <v>145</v>
      </c>
      <c r="AB172" s="207"/>
      <c r="AC172" s="208"/>
      <c r="AD172" s="61" t="s">
        <v>145</v>
      </c>
      <c r="AE172" s="57" t="s">
        <v>297</v>
      </c>
      <c r="AF172" s="10" t="s">
        <v>3</v>
      </c>
    </row>
    <row r="173" spans="1:32" ht="14.25">
      <c r="A173" s="206"/>
      <c r="B173" s="66" t="s">
        <v>151</v>
      </c>
      <c r="C173" s="10" t="s">
        <v>1</v>
      </c>
      <c r="D173" s="198"/>
      <c r="E173" s="198"/>
      <c r="F173" s="199"/>
      <c r="G173" s="199"/>
      <c r="H173" s="113"/>
      <c r="I173" s="109"/>
      <c r="J173" s="208"/>
      <c r="K173" s="208"/>
      <c r="L173" s="209"/>
      <c r="M173" s="209"/>
      <c r="N173" s="10" t="s">
        <v>97</v>
      </c>
      <c r="O173" s="68" t="s">
        <v>270</v>
      </c>
      <c r="P173" s="199"/>
      <c r="Q173" s="199"/>
      <c r="R173" s="199"/>
      <c r="S173" s="199"/>
      <c r="T173" s="198"/>
      <c r="U173" s="198"/>
      <c r="V173" s="199"/>
      <c r="W173" s="199"/>
      <c r="X173" s="109"/>
      <c r="Y173" s="109"/>
      <c r="Z173" s="202"/>
      <c r="AA173" s="39" t="s">
        <v>143</v>
      </c>
      <c r="AB173" s="208"/>
      <c r="AC173" s="208"/>
      <c r="AD173" s="61"/>
      <c r="AE173" s="57"/>
      <c r="AF173" s="125"/>
    </row>
    <row r="174" spans="1:32" ht="53.25" customHeight="1">
      <c r="A174" s="78" t="s">
        <v>207</v>
      </c>
      <c r="B174" s="10" t="s">
        <v>154</v>
      </c>
      <c r="C174" s="10" t="s">
        <v>302</v>
      </c>
      <c r="D174" s="10" t="s">
        <v>5</v>
      </c>
      <c r="E174" s="11" t="s">
        <v>7</v>
      </c>
      <c r="F174" s="10" t="s">
        <v>95</v>
      </c>
      <c r="G174" s="10" t="s">
        <v>96</v>
      </c>
      <c r="H174" s="113" t="s">
        <v>7</v>
      </c>
      <c r="I174" s="109"/>
      <c r="J174" s="10" t="s">
        <v>5</v>
      </c>
      <c r="K174" s="12" t="s">
        <v>277</v>
      </c>
      <c r="L174" s="10" t="s">
        <v>5</v>
      </c>
      <c r="M174" s="42" t="s">
        <v>7</v>
      </c>
      <c r="N174" s="10"/>
      <c r="O174" s="68"/>
      <c r="P174" s="10" t="s">
        <v>5</v>
      </c>
      <c r="Q174" s="10" t="s">
        <v>7</v>
      </c>
      <c r="R174" s="10" t="s">
        <v>272</v>
      </c>
      <c r="S174" s="10" t="s">
        <v>273</v>
      </c>
      <c r="T174" s="10" t="s">
        <v>5</v>
      </c>
      <c r="U174" s="11" t="s">
        <v>7</v>
      </c>
      <c r="V174" s="10" t="s">
        <v>95</v>
      </c>
      <c r="W174" s="10" t="s">
        <v>96</v>
      </c>
      <c r="X174" s="109"/>
      <c r="Y174" s="109"/>
      <c r="Z174" s="10"/>
      <c r="AA174" s="10"/>
      <c r="AB174" s="10" t="s">
        <v>5</v>
      </c>
      <c r="AC174" s="12" t="s">
        <v>334</v>
      </c>
      <c r="AD174" s="61" t="s">
        <v>335</v>
      </c>
      <c r="AE174" s="57" t="s">
        <v>336</v>
      </c>
      <c r="AF174" s="125"/>
    </row>
    <row r="175" spans="1:32" ht="12.75">
      <c r="A175" s="10"/>
      <c r="B175" s="10"/>
      <c r="C175" s="125"/>
      <c r="D175" s="10" t="s">
        <v>6</v>
      </c>
      <c r="E175" s="11" t="s">
        <v>6</v>
      </c>
      <c r="F175" s="10"/>
      <c r="G175" s="10"/>
      <c r="H175" s="113" t="s">
        <v>6</v>
      </c>
      <c r="I175" s="109" t="s">
        <v>300</v>
      </c>
      <c r="J175" s="10" t="s">
        <v>6</v>
      </c>
      <c r="K175" s="12" t="s">
        <v>6</v>
      </c>
      <c r="L175" s="10" t="s">
        <v>6</v>
      </c>
      <c r="M175" s="42" t="s">
        <v>6</v>
      </c>
      <c r="N175" s="125"/>
      <c r="O175" s="126"/>
      <c r="P175" s="10" t="s">
        <v>6</v>
      </c>
      <c r="Q175" s="10" t="s">
        <v>6</v>
      </c>
      <c r="R175" s="10" t="s">
        <v>6</v>
      </c>
      <c r="S175" s="10" t="s">
        <v>6</v>
      </c>
      <c r="T175" s="10" t="s">
        <v>6</v>
      </c>
      <c r="U175" s="11" t="s">
        <v>6</v>
      </c>
      <c r="V175" s="10"/>
      <c r="W175" s="10"/>
      <c r="X175" s="109" t="s">
        <v>6</v>
      </c>
      <c r="Y175" s="109" t="s">
        <v>300</v>
      </c>
      <c r="Z175" s="10" t="s">
        <v>6</v>
      </c>
      <c r="AA175" s="10" t="s">
        <v>6</v>
      </c>
      <c r="AB175" s="10" t="s">
        <v>6</v>
      </c>
      <c r="AC175" s="12" t="s">
        <v>6</v>
      </c>
      <c r="AD175" s="61" t="s">
        <v>6</v>
      </c>
      <c r="AE175" s="57" t="s">
        <v>6</v>
      </c>
      <c r="AF175" s="125"/>
    </row>
    <row r="176" spans="1:32" ht="12" customHeight="1">
      <c r="A176" s="10" t="s">
        <v>4</v>
      </c>
      <c r="B176" s="10"/>
      <c r="C176" s="125"/>
      <c r="D176" s="125"/>
      <c r="E176" s="127"/>
      <c r="F176" s="125"/>
      <c r="G176" s="125"/>
      <c r="H176" s="125"/>
      <c r="I176" s="125"/>
      <c r="J176" s="125"/>
      <c r="K176" s="128"/>
      <c r="L176" s="125"/>
      <c r="M176" s="129"/>
      <c r="N176" s="125"/>
      <c r="O176" s="126"/>
      <c r="P176" s="125"/>
      <c r="Q176" s="125"/>
      <c r="R176" s="125"/>
      <c r="S176" s="125"/>
      <c r="T176" s="125"/>
      <c r="U176" s="13"/>
      <c r="V176" s="44"/>
      <c r="W176" s="44"/>
      <c r="X176" s="44"/>
      <c r="Y176" s="44"/>
      <c r="Z176" s="125"/>
      <c r="AA176" s="125"/>
      <c r="AB176" s="125"/>
      <c r="AC176" s="128"/>
      <c r="AD176" s="121"/>
      <c r="AE176" s="130"/>
      <c r="AF176" s="125"/>
    </row>
    <row r="177" spans="1:32" ht="15">
      <c r="A177" s="54" t="s">
        <v>47</v>
      </c>
      <c r="B177" s="54"/>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row>
    <row r="178" spans="1:32" ht="25.5">
      <c r="A178" s="16" t="s">
        <v>243</v>
      </c>
      <c r="B178" s="16" t="s">
        <v>157</v>
      </c>
      <c r="C178" s="17" t="s">
        <v>140</v>
      </c>
      <c r="D178" s="18">
        <v>2.1</v>
      </c>
      <c r="E178" s="46">
        <v>1.47</v>
      </c>
      <c r="F178" s="17" t="s">
        <v>128</v>
      </c>
      <c r="G178" s="17" t="s">
        <v>127</v>
      </c>
      <c r="H178" s="18">
        <v>0</v>
      </c>
      <c r="I178" s="17"/>
      <c r="J178" s="18">
        <v>2.96</v>
      </c>
      <c r="K178" s="37">
        <v>0.9</v>
      </c>
      <c r="L178" s="18">
        <v>0.25</v>
      </c>
      <c r="M178" s="47">
        <f aca="true" t="shared" si="99" ref="M178:M183">SUM(E178-K178)</f>
        <v>0.57</v>
      </c>
      <c r="N178" s="17" t="s">
        <v>353</v>
      </c>
      <c r="O178" s="131">
        <v>7979</v>
      </c>
      <c r="P178" s="18">
        <f aca="true" t="shared" si="100" ref="P178:P193">SUM(O178*84)*(1.25)/1000000</f>
        <v>0.837795</v>
      </c>
      <c r="Q178" s="18">
        <f aca="true" t="shared" si="101" ref="Q178:Q193">SUM(O178*84)/1000000</f>
        <v>0.670236</v>
      </c>
      <c r="R178" s="18">
        <f>SUM(E178*0.06)</f>
        <v>0.0882</v>
      </c>
      <c r="S178" s="18">
        <v>0</v>
      </c>
      <c r="T178" s="18">
        <f aca="true" t="shared" si="102" ref="T178:T183">SUM(D178+P178)-(R178+S178)</f>
        <v>2.849595</v>
      </c>
      <c r="U178" s="46">
        <f aca="true" t="shared" si="103" ref="U178:U183">SUM(E178+Q178)-(R178+S178)</f>
        <v>2.0520359999999997</v>
      </c>
      <c r="V178" s="50" t="s">
        <v>128</v>
      </c>
      <c r="W178" s="50" t="s">
        <v>144</v>
      </c>
      <c r="X178" s="50">
        <v>0</v>
      </c>
      <c r="Y178" s="50"/>
      <c r="Z178" s="18">
        <v>0.45</v>
      </c>
      <c r="AA178" s="18">
        <f>K178+Z178</f>
        <v>1.35</v>
      </c>
      <c r="AB178" s="18">
        <f aca="true" t="shared" si="104" ref="AB178:AB193">SUM(U178)</f>
        <v>2.0520359999999997</v>
      </c>
      <c r="AC178" s="37">
        <f aca="true" t="shared" si="105" ref="AC178:AC183">SUM(U178*0.7)</f>
        <v>1.4364251999999997</v>
      </c>
      <c r="AD178" s="62">
        <f aca="true" t="shared" si="106" ref="AD178:AD183">SUM(AC178-K178)</f>
        <v>0.5364251999999997</v>
      </c>
      <c r="AE178" s="58">
        <f aca="true" t="shared" si="107" ref="AE178:AE183">SUM(AD178*0.7)</f>
        <v>0.3754976399999998</v>
      </c>
      <c r="AF178" s="17" t="s">
        <v>374</v>
      </c>
    </row>
    <row r="179" spans="1:32" ht="12.75">
      <c r="A179" s="16" t="s">
        <v>48</v>
      </c>
      <c r="B179" s="16" t="s">
        <v>157</v>
      </c>
      <c r="C179" s="17" t="s">
        <v>140</v>
      </c>
      <c r="D179" s="18">
        <v>1.5</v>
      </c>
      <c r="E179" s="46">
        <v>0.61</v>
      </c>
      <c r="F179" s="17" t="s">
        <v>128</v>
      </c>
      <c r="G179" s="17" t="s">
        <v>127</v>
      </c>
      <c r="H179" s="18">
        <v>0</v>
      </c>
      <c r="I179" s="17"/>
      <c r="J179" s="18">
        <v>1.08</v>
      </c>
      <c r="K179" s="37">
        <v>0.45</v>
      </c>
      <c r="L179" s="18">
        <v>1</v>
      </c>
      <c r="M179" s="47">
        <f t="shared" si="99"/>
        <v>0.15999999999999998</v>
      </c>
      <c r="N179" s="17" t="s">
        <v>239</v>
      </c>
      <c r="O179" s="131">
        <v>1539</v>
      </c>
      <c r="P179" s="18">
        <f t="shared" si="100"/>
        <v>0.161595</v>
      </c>
      <c r="Q179" s="18">
        <f t="shared" si="101"/>
        <v>0.129276</v>
      </c>
      <c r="R179" s="18">
        <f>SUM(E179*0.06)</f>
        <v>0.0366</v>
      </c>
      <c r="S179" s="18"/>
      <c r="T179" s="18">
        <f t="shared" si="102"/>
        <v>1.624995</v>
      </c>
      <c r="U179" s="46">
        <f t="shared" si="103"/>
        <v>0.7026760000000001</v>
      </c>
      <c r="V179" s="50" t="s">
        <v>128</v>
      </c>
      <c r="W179" s="50" t="s">
        <v>144</v>
      </c>
      <c r="X179" s="50">
        <v>0</v>
      </c>
      <c r="Y179" s="50"/>
      <c r="Z179" s="18">
        <v>0.5</v>
      </c>
      <c r="AA179" s="18">
        <f>K179+Z179</f>
        <v>0.95</v>
      </c>
      <c r="AB179" s="18">
        <f t="shared" si="104"/>
        <v>0.7026760000000001</v>
      </c>
      <c r="AC179" s="37">
        <f t="shared" si="105"/>
        <v>0.4918732</v>
      </c>
      <c r="AD179" s="62">
        <f t="shared" si="106"/>
        <v>0.0418732</v>
      </c>
      <c r="AE179" s="58">
        <f t="shared" si="107"/>
        <v>0.02931124</v>
      </c>
      <c r="AF179" s="17" t="s">
        <v>375</v>
      </c>
    </row>
    <row r="180" spans="1:32" ht="12.75">
      <c r="A180" s="16" t="s">
        <v>242</v>
      </c>
      <c r="B180" s="16" t="s">
        <v>157</v>
      </c>
      <c r="C180" s="17" t="s">
        <v>140</v>
      </c>
      <c r="D180" s="18">
        <v>0.22</v>
      </c>
      <c r="E180" s="46">
        <v>0.05</v>
      </c>
      <c r="F180" s="17" t="s">
        <v>169</v>
      </c>
      <c r="G180" s="17" t="s">
        <v>129</v>
      </c>
      <c r="H180" s="18">
        <v>0</v>
      </c>
      <c r="I180" s="17"/>
      <c r="J180" s="18">
        <v>0</v>
      </c>
      <c r="K180" s="37">
        <v>0</v>
      </c>
      <c r="L180" s="18">
        <f>SUM(D180)</f>
        <v>0.22</v>
      </c>
      <c r="M180" s="47">
        <f t="shared" si="99"/>
        <v>0.05</v>
      </c>
      <c r="N180" s="17"/>
      <c r="O180" s="131">
        <v>2216</v>
      </c>
      <c r="P180" s="18">
        <f t="shared" si="100"/>
        <v>0.23268</v>
      </c>
      <c r="Q180" s="18">
        <f t="shared" si="101"/>
        <v>0.186144</v>
      </c>
      <c r="R180" s="18">
        <f>SUM(E180*0.06)</f>
        <v>0.003</v>
      </c>
      <c r="S180" s="18"/>
      <c r="T180" s="18">
        <f t="shared" si="102"/>
        <v>0.44967999999999997</v>
      </c>
      <c r="U180" s="46">
        <f t="shared" si="103"/>
        <v>0.23314400000000002</v>
      </c>
      <c r="V180" s="50" t="s">
        <v>131</v>
      </c>
      <c r="W180" s="50" t="s">
        <v>144</v>
      </c>
      <c r="X180" s="50">
        <f>SUM(U180)</f>
        <v>0.23314400000000002</v>
      </c>
      <c r="Y180" s="50"/>
      <c r="Z180" s="18">
        <v>0</v>
      </c>
      <c r="AA180" s="18">
        <f>K180+Z180</f>
        <v>0</v>
      </c>
      <c r="AB180" s="18">
        <f t="shared" si="104"/>
        <v>0.23314400000000002</v>
      </c>
      <c r="AC180" s="37">
        <f t="shared" si="105"/>
        <v>0.1632008</v>
      </c>
      <c r="AD180" s="62">
        <f t="shared" si="106"/>
        <v>0.1632008</v>
      </c>
      <c r="AE180" s="58">
        <f t="shared" si="107"/>
        <v>0.11424055999999999</v>
      </c>
      <c r="AF180" s="17" t="s">
        <v>105</v>
      </c>
    </row>
    <row r="181" spans="1:32" ht="12.75">
      <c r="A181" s="16" t="s">
        <v>49</v>
      </c>
      <c r="B181" s="16" t="s">
        <v>157</v>
      </c>
      <c r="C181" s="17" t="s">
        <v>140</v>
      </c>
      <c r="D181" s="18">
        <v>0.31</v>
      </c>
      <c r="E181" s="46">
        <v>0.23</v>
      </c>
      <c r="F181" s="17" t="s">
        <v>169</v>
      </c>
      <c r="G181" s="17" t="s">
        <v>129</v>
      </c>
      <c r="H181" s="18">
        <v>0</v>
      </c>
      <c r="I181" s="17"/>
      <c r="J181" s="18">
        <v>0</v>
      </c>
      <c r="K181" s="37">
        <v>0</v>
      </c>
      <c r="L181" s="18">
        <f>SUM(D181)</f>
        <v>0.31</v>
      </c>
      <c r="M181" s="47">
        <f t="shared" si="99"/>
        <v>0.23</v>
      </c>
      <c r="N181" s="17"/>
      <c r="O181" s="131">
        <v>0</v>
      </c>
      <c r="P181" s="18">
        <f t="shared" si="100"/>
        <v>0</v>
      </c>
      <c r="Q181" s="18">
        <f t="shared" si="101"/>
        <v>0</v>
      </c>
      <c r="R181" s="18">
        <f>SUM(E181*0.06)</f>
        <v>0.0138</v>
      </c>
      <c r="S181" s="18"/>
      <c r="T181" s="18">
        <f t="shared" si="102"/>
        <v>0.2962</v>
      </c>
      <c r="U181" s="46">
        <f t="shared" si="103"/>
        <v>0.2162</v>
      </c>
      <c r="V181" s="50" t="s">
        <v>128</v>
      </c>
      <c r="W181" s="50" t="s">
        <v>144</v>
      </c>
      <c r="X181" s="50">
        <v>0</v>
      </c>
      <c r="Y181" s="50"/>
      <c r="Z181" s="18">
        <v>0</v>
      </c>
      <c r="AA181" s="18">
        <f>K181+Z181</f>
        <v>0</v>
      </c>
      <c r="AB181" s="18">
        <f t="shared" si="104"/>
        <v>0.2162</v>
      </c>
      <c r="AC181" s="37">
        <f t="shared" si="105"/>
        <v>0.15134</v>
      </c>
      <c r="AD181" s="62">
        <f t="shared" si="106"/>
        <v>0.15134</v>
      </c>
      <c r="AE181" s="58">
        <f t="shared" si="107"/>
        <v>0.10593799999999999</v>
      </c>
      <c r="AF181" s="17" t="s">
        <v>105</v>
      </c>
    </row>
    <row r="182" spans="1:32" ht="25.5">
      <c r="A182" s="16" t="s">
        <v>50</v>
      </c>
      <c r="B182" s="16" t="s">
        <v>157</v>
      </c>
      <c r="C182" s="17" t="s">
        <v>140</v>
      </c>
      <c r="D182" s="18">
        <v>7.5</v>
      </c>
      <c r="E182" s="46">
        <v>5.61</v>
      </c>
      <c r="F182" s="17" t="s">
        <v>128</v>
      </c>
      <c r="G182" s="17" t="s">
        <v>127</v>
      </c>
      <c r="H182" s="18">
        <v>0</v>
      </c>
      <c r="I182" s="17"/>
      <c r="J182" s="18">
        <v>0.66</v>
      </c>
      <c r="K182" s="37">
        <v>0.66</v>
      </c>
      <c r="L182" s="18" t="s">
        <v>345</v>
      </c>
      <c r="M182" s="47">
        <f t="shared" si="99"/>
        <v>4.95</v>
      </c>
      <c r="N182" s="17" t="s">
        <v>354</v>
      </c>
      <c r="O182" s="131">
        <v>1607</v>
      </c>
      <c r="P182" s="18">
        <f t="shared" si="100"/>
        <v>0.168735</v>
      </c>
      <c r="Q182" s="18">
        <f t="shared" si="101"/>
        <v>0.134988</v>
      </c>
      <c r="R182" s="18">
        <f>SUM(E182*0.06)</f>
        <v>0.3366</v>
      </c>
      <c r="S182" s="18"/>
      <c r="T182" s="18">
        <f t="shared" si="102"/>
        <v>7.332135</v>
      </c>
      <c r="U182" s="46">
        <f t="shared" si="103"/>
        <v>5.408388</v>
      </c>
      <c r="V182" s="50" t="s">
        <v>128</v>
      </c>
      <c r="W182" s="50" t="s">
        <v>144</v>
      </c>
      <c r="X182" s="50">
        <v>0</v>
      </c>
      <c r="Y182" s="50"/>
      <c r="Z182" s="17">
        <v>3.29</v>
      </c>
      <c r="AA182" s="18">
        <f>K182+0.15</f>
        <v>0.81</v>
      </c>
      <c r="AB182" s="18">
        <f t="shared" si="104"/>
        <v>5.408388</v>
      </c>
      <c r="AC182" s="37">
        <f t="shared" si="105"/>
        <v>3.7858716</v>
      </c>
      <c r="AD182" s="62">
        <f t="shared" si="106"/>
        <v>3.1258716</v>
      </c>
      <c r="AE182" s="58">
        <f t="shared" si="107"/>
        <v>2.1881101199999997</v>
      </c>
      <c r="AF182" s="17" t="s">
        <v>377</v>
      </c>
    </row>
    <row r="183" spans="1:32" ht="102">
      <c r="A183" s="16" t="s">
        <v>227</v>
      </c>
      <c r="B183" s="16" t="s">
        <v>157</v>
      </c>
      <c r="C183" s="17" t="s">
        <v>140</v>
      </c>
      <c r="D183" s="18">
        <v>23.9</v>
      </c>
      <c r="E183" s="46">
        <v>16.59</v>
      </c>
      <c r="F183" s="17" t="s">
        <v>128</v>
      </c>
      <c r="G183" s="17" t="s">
        <v>127</v>
      </c>
      <c r="H183" s="18">
        <v>0</v>
      </c>
      <c r="I183" s="17"/>
      <c r="J183" s="18">
        <v>22.33</v>
      </c>
      <c r="K183" s="37">
        <v>12.04</v>
      </c>
      <c r="L183" s="18">
        <v>9.17</v>
      </c>
      <c r="M183" s="47">
        <f t="shared" si="99"/>
        <v>4.550000000000001</v>
      </c>
      <c r="N183" s="17" t="s">
        <v>241</v>
      </c>
      <c r="O183" s="131">
        <v>97430</v>
      </c>
      <c r="P183" s="18">
        <f t="shared" si="100"/>
        <v>10.23015</v>
      </c>
      <c r="Q183" s="18">
        <f t="shared" si="101"/>
        <v>8.18412</v>
      </c>
      <c r="R183" s="18">
        <f>SUM(E183*0.06)+0.13</f>
        <v>1.1254</v>
      </c>
      <c r="S183" s="18">
        <v>1</v>
      </c>
      <c r="T183" s="18">
        <f t="shared" si="102"/>
        <v>32.00475</v>
      </c>
      <c r="U183" s="46">
        <f t="shared" si="103"/>
        <v>22.64872</v>
      </c>
      <c r="V183" s="50" t="s">
        <v>131</v>
      </c>
      <c r="W183" s="50" t="s">
        <v>144</v>
      </c>
      <c r="X183" s="50">
        <f>SUM(U183)</f>
        <v>22.64872</v>
      </c>
      <c r="Y183" s="50"/>
      <c r="Z183" s="18">
        <v>5</v>
      </c>
      <c r="AA183" s="18">
        <f>K183+Z183</f>
        <v>17.04</v>
      </c>
      <c r="AB183" s="18">
        <f t="shared" si="104"/>
        <v>22.64872</v>
      </c>
      <c r="AC183" s="37">
        <f t="shared" si="105"/>
        <v>15.854104</v>
      </c>
      <c r="AD183" s="62">
        <f t="shared" si="106"/>
        <v>3.8141040000000004</v>
      </c>
      <c r="AE183" s="58">
        <f t="shared" si="107"/>
        <v>2.6698728000000003</v>
      </c>
      <c r="AF183" s="17" t="s">
        <v>418</v>
      </c>
    </row>
    <row r="184" spans="1:32" ht="25.5">
      <c r="A184" s="16" t="s">
        <v>223</v>
      </c>
      <c r="B184" s="16" t="s">
        <v>157</v>
      </c>
      <c r="C184" s="17" t="s">
        <v>140</v>
      </c>
      <c r="D184" s="159" t="s">
        <v>26</v>
      </c>
      <c r="E184" s="160" t="s">
        <v>240</v>
      </c>
      <c r="F184" s="17" t="s">
        <v>128</v>
      </c>
      <c r="G184" s="17" t="s">
        <v>127</v>
      </c>
      <c r="H184" s="18">
        <v>0</v>
      </c>
      <c r="I184" s="17"/>
      <c r="J184" s="159" t="s">
        <v>26</v>
      </c>
      <c r="K184" s="161" t="s">
        <v>26</v>
      </c>
      <c r="L184" s="155" t="s">
        <v>26</v>
      </c>
      <c r="M184" s="162" t="s">
        <v>26</v>
      </c>
      <c r="N184" s="155" t="s">
        <v>26</v>
      </c>
      <c r="O184" s="163" t="s">
        <v>240</v>
      </c>
      <c r="P184" s="155" t="s">
        <v>26</v>
      </c>
      <c r="Q184" s="155" t="s">
        <v>26</v>
      </c>
      <c r="R184" s="155" t="s">
        <v>26</v>
      </c>
      <c r="S184" s="49"/>
      <c r="T184" s="155" t="s">
        <v>26</v>
      </c>
      <c r="U184" s="160" t="s">
        <v>240</v>
      </c>
      <c r="V184" s="50" t="s">
        <v>128</v>
      </c>
      <c r="W184" s="50" t="s">
        <v>144</v>
      </c>
      <c r="X184" s="155" t="s">
        <v>26</v>
      </c>
      <c r="Y184" s="50"/>
      <c r="Z184" s="155" t="s">
        <v>26</v>
      </c>
      <c r="AA184" s="159" t="str">
        <f>K184</f>
        <v>included with above</v>
      </c>
      <c r="AB184" s="18">
        <f t="shared" si="104"/>
        <v>0</v>
      </c>
      <c r="AC184" s="161" t="str">
        <f>M184</f>
        <v>included with above</v>
      </c>
      <c r="AD184" s="116" t="s">
        <v>26</v>
      </c>
      <c r="AE184" s="164" t="s">
        <v>26</v>
      </c>
      <c r="AF184" s="17" t="s">
        <v>126</v>
      </c>
    </row>
    <row r="185" spans="1:32" ht="24">
      <c r="A185" s="16" t="s">
        <v>224</v>
      </c>
      <c r="B185" s="16" t="s">
        <v>157</v>
      </c>
      <c r="C185" s="17" t="s">
        <v>140</v>
      </c>
      <c r="D185" s="159" t="s">
        <v>26</v>
      </c>
      <c r="E185" s="160" t="s">
        <v>240</v>
      </c>
      <c r="F185" s="17" t="s">
        <v>128</v>
      </c>
      <c r="G185" s="17" t="s">
        <v>127</v>
      </c>
      <c r="H185" s="18">
        <v>0</v>
      </c>
      <c r="I185" s="17"/>
      <c r="J185" s="159" t="s">
        <v>26</v>
      </c>
      <c r="K185" s="161" t="s">
        <v>26</v>
      </c>
      <c r="L185" s="155" t="s">
        <v>26</v>
      </c>
      <c r="M185" s="162" t="s">
        <v>26</v>
      </c>
      <c r="N185" s="155" t="s">
        <v>26</v>
      </c>
      <c r="O185" s="163" t="s">
        <v>240</v>
      </c>
      <c r="P185" s="155" t="s">
        <v>26</v>
      </c>
      <c r="Q185" s="155" t="s">
        <v>26</v>
      </c>
      <c r="R185" s="155" t="s">
        <v>26</v>
      </c>
      <c r="S185" s="49"/>
      <c r="T185" s="155" t="s">
        <v>26</v>
      </c>
      <c r="U185" s="160" t="s">
        <v>240</v>
      </c>
      <c r="V185" s="50" t="s">
        <v>128</v>
      </c>
      <c r="W185" s="50" t="s">
        <v>144</v>
      </c>
      <c r="X185" s="155" t="s">
        <v>26</v>
      </c>
      <c r="Y185" s="50"/>
      <c r="Z185" s="155" t="s">
        <v>26</v>
      </c>
      <c r="AA185" s="159" t="str">
        <f>K185</f>
        <v>included with above</v>
      </c>
      <c r="AB185" s="18">
        <f t="shared" si="104"/>
        <v>0</v>
      </c>
      <c r="AC185" s="161" t="str">
        <f>M185</f>
        <v>included with above</v>
      </c>
      <c r="AD185" s="116" t="s">
        <v>26</v>
      </c>
      <c r="AE185" s="164" t="s">
        <v>26</v>
      </c>
      <c r="AF185" s="17" t="s">
        <v>126</v>
      </c>
    </row>
    <row r="186" spans="1:32" ht="24">
      <c r="A186" s="16" t="s">
        <v>225</v>
      </c>
      <c r="B186" s="16" t="s">
        <v>157</v>
      </c>
      <c r="C186" s="17" t="s">
        <v>140</v>
      </c>
      <c r="D186" s="159" t="s">
        <v>26</v>
      </c>
      <c r="E186" s="160" t="s">
        <v>240</v>
      </c>
      <c r="F186" s="17" t="s">
        <v>128</v>
      </c>
      <c r="G186" s="17" t="s">
        <v>127</v>
      </c>
      <c r="H186" s="18">
        <v>0</v>
      </c>
      <c r="I186" s="17"/>
      <c r="J186" s="159" t="s">
        <v>26</v>
      </c>
      <c r="K186" s="161" t="s">
        <v>26</v>
      </c>
      <c r="L186" s="155" t="s">
        <v>26</v>
      </c>
      <c r="M186" s="162" t="s">
        <v>26</v>
      </c>
      <c r="N186" s="155" t="s">
        <v>26</v>
      </c>
      <c r="O186" s="163" t="s">
        <v>240</v>
      </c>
      <c r="P186" s="155" t="s">
        <v>26</v>
      </c>
      <c r="Q186" s="155" t="s">
        <v>26</v>
      </c>
      <c r="R186" s="155" t="s">
        <v>26</v>
      </c>
      <c r="S186" s="49"/>
      <c r="T186" s="155" t="s">
        <v>26</v>
      </c>
      <c r="U186" s="160" t="s">
        <v>240</v>
      </c>
      <c r="V186" s="50" t="s">
        <v>128</v>
      </c>
      <c r="W186" s="50" t="s">
        <v>144</v>
      </c>
      <c r="X186" s="155" t="s">
        <v>26</v>
      </c>
      <c r="Y186" s="50"/>
      <c r="Z186" s="155" t="s">
        <v>26</v>
      </c>
      <c r="AA186" s="159" t="str">
        <f>K186</f>
        <v>included with above</v>
      </c>
      <c r="AB186" s="18">
        <f t="shared" si="104"/>
        <v>0</v>
      </c>
      <c r="AC186" s="161" t="str">
        <f>M186</f>
        <v>included with above</v>
      </c>
      <c r="AD186" s="116" t="s">
        <v>26</v>
      </c>
      <c r="AE186" s="164" t="s">
        <v>26</v>
      </c>
      <c r="AF186" s="17" t="s">
        <v>126</v>
      </c>
    </row>
    <row r="187" spans="1:32" ht="25.5">
      <c r="A187" s="16" t="s">
        <v>226</v>
      </c>
      <c r="B187" s="16" t="s">
        <v>157</v>
      </c>
      <c r="C187" s="17" t="s">
        <v>140</v>
      </c>
      <c r="D187" s="159" t="s">
        <v>26</v>
      </c>
      <c r="E187" s="160" t="s">
        <v>240</v>
      </c>
      <c r="F187" s="17" t="s">
        <v>128</v>
      </c>
      <c r="G187" s="17" t="s">
        <v>127</v>
      </c>
      <c r="H187" s="18">
        <v>0</v>
      </c>
      <c r="I187" s="17"/>
      <c r="J187" s="159" t="s">
        <v>26</v>
      </c>
      <c r="K187" s="161" t="s">
        <v>26</v>
      </c>
      <c r="L187" s="155" t="s">
        <v>26</v>
      </c>
      <c r="M187" s="162" t="s">
        <v>26</v>
      </c>
      <c r="N187" s="155" t="s">
        <v>26</v>
      </c>
      <c r="O187" s="163" t="s">
        <v>240</v>
      </c>
      <c r="P187" s="155" t="s">
        <v>26</v>
      </c>
      <c r="Q187" s="155" t="s">
        <v>26</v>
      </c>
      <c r="R187" s="155" t="s">
        <v>26</v>
      </c>
      <c r="S187" s="49"/>
      <c r="T187" s="155" t="s">
        <v>26</v>
      </c>
      <c r="U187" s="160" t="s">
        <v>240</v>
      </c>
      <c r="V187" s="50" t="s">
        <v>128</v>
      </c>
      <c r="W187" s="50" t="s">
        <v>144</v>
      </c>
      <c r="X187" s="155" t="s">
        <v>26</v>
      </c>
      <c r="Y187" s="50"/>
      <c r="Z187" s="155" t="s">
        <v>26</v>
      </c>
      <c r="AA187" s="159" t="str">
        <f>K187</f>
        <v>included with above</v>
      </c>
      <c r="AB187" s="18">
        <f t="shared" si="104"/>
        <v>0</v>
      </c>
      <c r="AC187" s="161" t="str">
        <f>M187</f>
        <v>included with above</v>
      </c>
      <c r="AD187" s="116" t="s">
        <v>26</v>
      </c>
      <c r="AE187" s="164" t="s">
        <v>26</v>
      </c>
      <c r="AF187" s="17" t="s">
        <v>126</v>
      </c>
    </row>
    <row r="188" spans="1:32" ht="24">
      <c r="A188" s="16" t="s">
        <v>228</v>
      </c>
      <c r="B188" s="16" t="s">
        <v>157</v>
      </c>
      <c r="C188" s="17" t="s">
        <v>140</v>
      </c>
      <c r="D188" s="159" t="s">
        <v>26</v>
      </c>
      <c r="E188" s="160" t="s">
        <v>240</v>
      </c>
      <c r="F188" s="17" t="s">
        <v>128</v>
      </c>
      <c r="G188" s="17" t="s">
        <v>127</v>
      </c>
      <c r="H188" s="18">
        <v>0</v>
      </c>
      <c r="I188" s="17"/>
      <c r="J188" s="159" t="s">
        <v>26</v>
      </c>
      <c r="K188" s="161" t="s">
        <v>26</v>
      </c>
      <c r="L188" s="155" t="s">
        <v>26</v>
      </c>
      <c r="M188" s="162" t="s">
        <v>26</v>
      </c>
      <c r="N188" s="155" t="s">
        <v>26</v>
      </c>
      <c r="O188" s="163" t="s">
        <v>240</v>
      </c>
      <c r="P188" s="155" t="s">
        <v>26</v>
      </c>
      <c r="Q188" s="155" t="s">
        <v>26</v>
      </c>
      <c r="R188" s="155" t="s">
        <v>26</v>
      </c>
      <c r="S188" s="18"/>
      <c r="T188" s="155" t="s">
        <v>26</v>
      </c>
      <c r="U188" s="160" t="s">
        <v>240</v>
      </c>
      <c r="V188" s="50" t="s">
        <v>128</v>
      </c>
      <c r="W188" s="50" t="s">
        <v>144</v>
      </c>
      <c r="X188" s="155" t="s">
        <v>26</v>
      </c>
      <c r="Y188" s="50"/>
      <c r="Z188" s="155" t="s">
        <v>26</v>
      </c>
      <c r="AA188" s="159" t="s">
        <v>26</v>
      </c>
      <c r="AB188" s="18">
        <f t="shared" si="104"/>
        <v>0</v>
      </c>
      <c r="AC188" s="161" t="s">
        <v>26</v>
      </c>
      <c r="AD188" s="116" t="s">
        <v>26</v>
      </c>
      <c r="AE188" s="164" t="s">
        <v>26</v>
      </c>
      <c r="AF188" s="17" t="s">
        <v>126</v>
      </c>
    </row>
    <row r="189" spans="1:32" ht="24">
      <c r="A189" s="16" t="s">
        <v>229</v>
      </c>
      <c r="B189" s="16" t="s">
        <v>157</v>
      </c>
      <c r="C189" s="17" t="s">
        <v>140</v>
      </c>
      <c r="D189" s="159" t="s">
        <v>26</v>
      </c>
      <c r="E189" s="160" t="s">
        <v>240</v>
      </c>
      <c r="F189" s="17" t="s">
        <v>128</v>
      </c>
      <c r="G189" s="17" t="s">
        <v>127</v>
      </c>
      <c r="H189" s="18">
        <v>0</v>
      </c>
      <c r="I189" s="17"/>
      <c r="J189" s="159" t="s">
        <v>26</v>
      </c>
      <c r="K189" s="161" t="s">
        <v>26</v>
      </c>
      <c r="L189" s="155" t="s">
        <v>26</v>
      </c>
      <c r="M189" s="162" t="s">
        <v>26</v>
      </c>
      <c r="N189" s="155" t="s">
        <v>26</v>
      </c>
      <c r="O189" s="163" t="s">
        <v>240</v>
      </c>
      <c r="P189" s="155" t="s">
        <v>26</v>
      </c>
      <c r="Q189" s="155" t="s">
        <v>26</v>
      </c>
      <c r="R189" s="155" t="s">
        <v>26</v>
      </c>
      <c r="S189" s="49"/>
      <c r="T189" s="155" t="s">
        <v>26</v>
      </c>
      <c r="U189" s="160" t="s">
        <v>240</v>
      </c>
      <c r="V189" s="50" t="s">
        <v>128</v>
      </c>
      <c r="W189" s="50" t="s">
        <v>144</v>
      </c>
      <c r="X189" s="155" t="s">
        <v>26</v>
      </c>
      <c r="Y189" s="50"/>
      <c r="Z189" s="155" t="s">
        <v>26</v>
      </c>
      <c r="AA189" s="159" t="str">
        <f>K189</f>
        <v>included with above</v>
      </c>
      <c r="AB189" s="18">
        <f t="shared" si="104"/>
        <v>0</v>
      </c>
      <c r="AC189" s="161" t="s">
        <v>26</v>
      </c>
      <c r="AD189" s="116" t="s">
        <v>26</v>
      </c>
      <c r="AE189" s="164" t="s">
        <v>26</v>
      </c>
      <c r="AF189" s="17" t="s">
        <v>126</v>
      </c>
    </row>
    <row r="190" spans="1:32" ht="24">
      <c r="A190" s="16" t="s">
        <v>51</v>
      </c>
      <c r="B190" s="16" t="s">
        <v>157</v>
      </c>
      <c r="C190" s="17" t="s">
        <v>140</v>
      </c>
      <c r="D190" s="159" t="s">
        <v>26</v>
      </c>
      <c r="E190" s="160" t="s">
        <v>240</v>
      </c>
      <c r="F190" s="17" t="s">
        <v>128</v>
      </c>
      <c r="G190" s="17" t="s">
        <v>127</v>
      </c>
      <c r="H190" s="18">
        <v>0</v>
      </c>
      <c r="I190" s="17"/>
      <c r="J190" s="159" t="s">
        <v>26</v>
      </c>
      <c r="K190" s="161" t="s">
        <v>26</v>
      </c>
      <c r="L190" s="155" t="s">
        <v>26</v>
      </c>
      <c r="M190" s="162" t="s">
        <v>26</v>
      </c>
      <c r="N190" s="155" t="s">
        <v>26</v>
      </c>
      <c r="O190" s="163" t="s">
        <v>240</v>
      </c>
      <c r="P190" s="155" t="s">
        <v>26</v>
      </c>
      <c r="Q190" s="155" t="s">
        <v>26</v>
      </c>
      <c r="R190" s="155" t="s">
        <v>26</v>
      </c>
      <c r="S190" s="18"/>
      <c r="T190" s="155" t="s">
        <v>26</v>
      </c>
      <c r="U190" s="160" t="s">
        <v>240</v>
      </c>
      <c r="V190" s="50" t="s">
        <v>128</v>
      </c>
      <c r="W190" s="50" t="s">
        <v>144</v>
      </c>
      <c r="X190" s="155" t="s">
        <v>26</v>
      </c>
      <c r="Y190" s="50"/>
      <c r="Z190" s="155" t="s">
        <v>26</v>
      </c>
      <c r="AA190" s="155" t="s">
        <v>26</v>
      </c>
      <c r="AB190" s="18">
        <f t="shared" si="104"/>
        <v>0</v>
      </c>
      <c r="AC190" s="161" t="s">
        <v>26</v>
      </c>
      <c r="AD190" s="116" t="s">
        <v>26</v>
      </c>
      <c r="AE190" s="164" t="s">
        <v>26</v>
      </c>
      <c r="AF190" s="17" t="s">
        <v>126</v>
      </c>
    </row>
    <row r="191" spans="1:32" ht="12.75">
      <c r="A191" s="16" t="s">
        <v>244</v>
      </c>
      <c r="B191" s="16" t="s">
        <v>157</v>
      </c>
      <c r="C191" s="17" t="s">
        <v>140</v>
      </c>
      <c r="D191" s="18">
        <v>0.13</v>
      </c>
      <c r="E191" s="46">
        <v>0.11</v>
      </c>
      <c r="F191" s="17" t="s">
        <v>169</v>
      </c>
      <c r="G191" s="17" t="s">
        <v>129</v>
      </c>
      <c r="H191" s="18">
        <v>0</v>
      </c>
      <c r="I191" s="17"/>
      <c r="J191" s="18">
        <v>0</v>
      </c>
      <c r="K191" s="37">
        <v>0</v>
      </c>
      <c r="L191" s="18">
        <v>0.14</v>
      </c>
      <c r="M191" s="47">
        <f>SUM(E191-K191)</f>
        <v>0.11</v>
      </c>
      <c r="N191" s="17"/>
      <c r="O191" s="131">
        <v>0</v>
      </c>
      <c r="P191" s="18">
        <f t="shared" si="100"/>
        <v>0</v>
      </c>
      <c r="Q191" s="18">
        <f t="shared" si="101"/>
        <v>0</v>
      </c>
      <c r="R191" s="18">
        <f>SUM(E191*0.06)</f>
        <v>0.0066</v>
      </c>
      <c r="S191" s="18"/>
      <c r="T191" s="18">
        <f>SUM(D191+P191)-(R191+S191)</f>
        <v>0.12340000000000001</v>
      </c>
      <c r="U191" s="46">
        <f>SUM(E191+Q191)-(R191+S191)</f>
        <v>0.1034</v>
      </c>
      <c r="V191" s="50" t="s">
        <v>128</v>
      </c>
      <c r="W191" s="50" t="s">
        <v>144</v>
      </c>
      <c r="X191" s="50">
        <v>0</v>
      </c>
      <c r="Y191" s="50"/>
      <c r="Z191" s="18">
        <v>0</v>
      </c>
      <c r="AA191" s="18">
        <f>K191+Z191</f>
        <v>0</v>
      </c>
      <c r="AB191" s="18">
        <f t="shared" si="104"/>
        <v>0.1034</v>
      </c>
      <c r="AC191" s="37">
        <f>SUM(U191*0.7)</f>
        <v>0.07238</v>
      </c>
      <c r="AD191" s="62">
        <f>SUM(AC191-K191)</f>
        <v>0.07238</v>
      </c>
      <c r="AE191" s="58">
        <f>SUM(AD191*0.7)</f>
        <v>0.050665999999999996</v>
      </c>
      <c r="AF191" s="17" t="s">
        <v>105</v>
      </c>
    </row>
    <row r="192" spans="1:32" ht="12.75">
      <c r="A192" s="16" t="s">
        <v>52</v>
      </c>
      <c r="B192" s="16" t="s">
        <v>157</v>
      </c>
      <c r="C192" s="17" t="s">
        <v>140</v>
      </c>
      <c r="D192" s="18">
        <v>0.1</v>
      </c>
      <c r="E192" s="46">
        <v>0.02</v>
      </c>
      <c r="F192" s="17" t="s">
        <v>128</v>
      </c>
      <c r="G192" s="17" t="s">
        <v>132</v>
      </c>
      <c r="H192" s="18">
        <v>0</v>
      </c>
      <c r="I192" s="17"/>
      <c r="J192" s="18">
        <v>0.4</v>
      </c>
      <c r="K192" s="37">
        <v>0</v>
      </c>
      <c r="L192" s="18">
        <f>SUM(D192)</f>
        <v>0.1</v>
      </c>
      <c r="M192" s="47">
        <f>SUM(E192-K192)</f>
        <v>0.02</v>
      </c>
      <c r="N192" s="17"/>
      <c r="O192" s="131">
        <v>0</v>
      </c>
      <c r="P192" s="18">
        <f t="shared" si="100"/>
        <v>0</v>
      </c>
      <c r="Q192" s="18">
        <f t="shared" si="101"/>
        <v>0</v>
      </c>
      <c r="R192" s="18">
        <f>SUM(E192*0.06)</f>
        <v>0.0012</v>
      </c>
      <c r="S192" s="18"/>
      <c r="T192" s="18">
        <f>SUM(D192+P192)-(R192+S192)</f>
        <v>0.0988</v>
      </c>
      <c r="U192" s="46">
        <f>SUM(E192+Q192)-(R192+S192)</f>
        <v>0.0188</v>
      </c>
      <c r="V192" s="50" t="s">
        <v>128</v>
      </c>
      <c r="W192" s="50" t="s">
        <v>144</v>
      </c>
      <c r="X192" s="50">
        <v>0</v>
      </c>
      <c r="Y192" s="50"/>
      <c r="Z192" s="18">
        <v>0</v>
      </c>
      <c r="AA192" s="18">
        <f>K192+Z192</f>
        <v>0</v>
      </c>
      <c r="AB192" s="18">
        <f t="shared" si="104"/>
        <v>0.0188</v>
      </c>
      <c r="AC192" s="37">
        <f>SUM(U192*0.7)</f>
        <v>0.01316</v>
      </c>
      <c r="AD192" s="62">
        <f>SUM(AC192-K192)</f>
        <v>0.01316</v>
      </c>
      <c r="AE192" s="58">
        <f>SUM(AD192*0.7)</f>
        <v>0.009212</v>
      </c>
      <c r="AF192" s="17" t="s">
        <v>105</v>
      </c>
    </row>
    <row r="193" spans="1:32" ht="25.5">
      <c r="A193" s="16" t="s">
        <v>53</v>
      </c>
      <c r="B193" s="16" t="s">
        <v>157</v>
      </c>
      <c r="C193" s="17" t="s">
        <v>140</v>
      </c>
      <c r="D193" s="18">
        <v>4.5</v>
      </c>
      <c r="E193" s="46">
        <v>1.63</v>
      </c>
      <c r="F193" s="17" t="s">
        <v>128</v>
      </c>
      <c r="G193" s="17" t="s">
        <v>127</v>
      </c>
      <c r="H193" s="18">
        <v>0</v>
      </c>
      <c r="I193" s="17"/>
      <c r="J193" s="18">
        <v>1.6</v>
      </c>
      <c r="K193" s="37">
        <v>0.4</v>
      </c>
      <c r="L193" s="18">
        <v>2.25</v>
      </c>
      <c r="M193" s="47">
        <f>SUM(E193-K193)</f>
        <v>1.23</v>
      </c>
      <c r="N193" s="17" t="s">
        <v>349</v>
      </c>
      <c r="O193" s="131">
        <v>5709</v>
      </c>
      <c r="P193" s="18">
        <f t="shared" si="100"/>
        <v>0.599445</v>
      </c>
      <c r="Q193" s="18">
        <f t="shared" si="101"/>
        <v>0.479556</v>
      </c>
      <c r="R193" s="18">
        <f>SUM(E193*0.06)</f>
        <v>0.09779999999999998</v>
      </c>
      <c r="S193" s="18"/>
      <c r="T193" s="18">
        <f>SUM(D193+P193)-(R193+S193)</f>
        <v>5.001645</v>
      </c>
      <c r="U193" s="46">
        <f>SUM(E193+Q193)-(R193+S193)</f>
        <v>2.011756</v>
      </c>
      <c r="V193" s="50" t="s">
        <v>131</v>
      </c>
      <c r="W193" s="50" t="s">
        <v>144</v>
      </c>
      <c r="X193" s="50">
        <f>SUM(U193)</f>
        <v>2.011756</v>
      </c>
      <c r="Y193" s="50"/>
      <c r="Z193" s="18">
        <v>0</v>
      </c>
      <c r="AA193" s="18">
        <f>K193+Z193</f>
        <v>0.4</v>
      </c>
      <c r="AB193" s="18">
        <f t="shared" si="104"/>
        <v>2.011756</v>
      </c>
      <c r="AC193" s="37">
        <f>SUM(U193*0.7)</f>
        <v>1.4082292</v>
      </c>
      <c r="AD193" s="62">
        <f>SUM(AC193-K193)</f>
        <v>1.0082292000000002</v>
      </c>
      <c r="AE193" s="58">
        <f>SUM(AD193*0.7)</f>
        <v>0.70576044</v>
      </c>
      <c r="AF193" s="17" t="s">
        <v>376</v>
      </c>
    </row>
    <row r="194" spans="1:32" ht="15">
      <c r="A194" s="14" t="s">
        <v>54</v>
      </c>
      <c r="B194" s="14"/>
      <c r="C194" s="15"/>
      <c r="D194" s="51"/>
      <c r="E194" s="51"/>
      <c r="F194" s="15"/>
      <c r="G194" s="15"/>
      <c r="H194" s="51"/>
      <c r="I194" s="15"/>
      <c r="J194" s="51"/>
      <c r="K194" s="51"/>
      <c r="L194" s="51"/>
      <c r="M194" s="52"/>
      <c r="N194" s="15"/>
      <c r="O194" s="67"/>
      <c r="P194" s="15"/>
      <c r="Q194" s="15"/>
      <c r="R194" s="15"/>
      <c r="S194" s="15"/>
      <c r="T194" s="15"/>
      <c r="U194" s="15"/>
      <c r="V194" s="15"/>
      <c r="W194" s="15"/>
      <c r="X194" s="15"/>
      <c r="Y194" s="15"/>
      <c r="Z194" s="15"/>
      <c r="AA194" s="52"/>
      <c r="AB194" s="15"/>
      <c r="AC194" s="15"/>
      <c r="AD194" s="15"/>
      <c r="AE194" s="15"/>
      <c r="AF194" s="15"/>
    </row>
    <row r="195" spans="1:32" ht="15">
      <c r="A195" s="16" t="s">
        <v>13</v>
      </c>
      <c r="B195" s="16"/>
      <c r="C195" s="17">
        <v>16</v>
      </c>
      <c r="D195" s="50">
        <f>SUM(D178:D193)</f>
        <v>40.260000000000005</v>
      </c>
      <c r="E195" s="46">
        <f>SUM(E178:E193)</f>
        <v>26.32</v>
      </c>
      <c r="F195" s="17"/>
      <c r="G195" s="17"/>
      <c r="H195" s="18">
        <v>0</v>
      </c>
      <c r="I195" s="17"/>
      <c r="J195" s="50">
        <f>SUM(J178:J193)</f>
        <v>29.029999999999998</v>
      </c>
      <c r="K195" s="37">
        <f>SUM(K178:K193)</f>
        <v>14.45</v>
      </c>
      <c r="L195" s="50">
        <f>SUM(L178:L193)</f>
        <v>13.44</v>
      </c>
      <c r="M195" s="47">
        <f>SUM(M178:M193)</f>
        <v>11.870000000000001</v>
      </c>
      <c r="N195" s="17"/>
      <c r="O195" s="131">
        <f aca="true" t="shared" si="108" ref="O195:U195">SUM(O178:O193)</f>
        <v>116480</v>
      </c>
      <c r="P195" s="18">
        <f t="shared" si="108"/>
        <v>12.2304</v>
      </c>
      <c r="Q195" s="18">
        <f t="shared" si="108"/>
        <v>9.784320000000001</v>
      </c>
      <c r="R195" s="18">
        <f t="shared" si="108"/>
        <v>1.7091999999999998</v>
      </c>
      <c r="S195" s="18">
        <f t="shared" si="108"/>
        <v>1</v>
      </c>
      <c r="T195" s="18">
        <f t="shared" si="108"/>
        <v>49.7812</v>
      </c>
      <c r="U195" s="46">
        <f t="shared" si="108"/>
        <v>33.39512</v>
      </c>
      <c r="V195" s="43"/>
      <c r="W195" s="43"/>
      <c r="X195" s="18">
        <f>SUM(X178:X193)</f>
        <v>24.89362</v>
      </c>
      <c r="Y195" s="43"/>
      <c r="Z195" s="18">
        <f>SUM(Z178:Z193)</f>
        <v>9.24</v>
      </c>
      <c r="AA195" s="18">
        <f>SUM(AA178:AA193)</f>
        <v>20.549999999999997</v>
      </c>
      <c r="AB195" s="18">
        <f>SUM(AB178:AB193)</f>
        <v>33.39512</v>
      </c>
      <c r="AC195" s="37">
        <f>SUM(AC178:AC193)</f>
        <v>23.376583999999998</v>
      </c>
      <c r="AD195" s="62">
        <f>SUM(AD178:AD193)</f>
        <v>8.926584</v>
      </c>
      <c r="AE195" s="58">
        <f>SUM(AD195*0.75)</f>
        <v>6.6949380000000005</v>
      </c>
      <c r="AF195" s="20"/>
    </row>
    <row r="196" spans="1:32" ht="15.75" thickBot="1">
      <c r="A196" s="22" t="s">
        <v>14</v>
      </c>
      <c r="B196" s="22"/>
      <c r="C196" s="23">
        <v>0</v>
      </c>
      <c r="D196" s="165">
        <v>0</v>
      </c>
      <c r="E196" s="132">
        <v>0</v>
      </c>
      <c r="F196" s="23"/>
      <c r="G196" s="23"/>
      <c r="H196" s="24">
        <v>0</v>
      </c>
      <c r="I196" s="23"/>
      <c r="J196" s="165">
        <v>0</v>
      </c>
      <c r="K196" s="133">
        <v>0</v>
      </c>
      <c r="L196" s="165">
        <v>0</v>
      </c>
      <c r="M196" s="47">
        <f>SUM(E196-K196)</f>
        <v>0</v>
      </c>
      <c r="N196" s="23"/>
      <c r="O196" s="69">
        <v>0</v>
      </c>
      <c r="P196" s="23">
        <v>0</v>
      </c>
      <c r="Q196" s="23">
        <v>0</v>
      </c>
      <c r="R196" s="24">
        <v>0</v>
      </c>
      <c r="S196" s="24">
        <v>0</v>
      </c>
      <c r="T196" s="24">
        <v>0</v>
      </c>
      <c r="U196" s="132">
        <v>0</v>
      </c>
      <c r="V196" s="45"/>
      <c r="W196" s="45"/>
      <c r="X196" s="24">
        <v>0</v>
      </c>
      <c r="Y196" s="45"/>
      <c r="Z196" s="24">
        <v>0</v>
      </c>
      <c r="AA196" s="24">
        <v>0</v>
      </c>
      <c r="AB196" s="24">
        <v>0</v>
      </c>
      <c r="AC196" s="133">
        <v>0</v>
      </c>
      <c r="AD196" s="117">
        <v>0</v>
      </c>
      <c r="AE196" s="58">
        <f>SUM(AD196*0.75)</f>
        <v>0</v>
      </c>
      <c r="AF196" s="25"/>
    </row>
    <row r="197" spans="1:32" ht="15.75" thickBot="1">
      <c r="A197" s="26" t="s">
        <v>55</v>
      </c>
      <c r="B197" s="27"/>
      <c r="C197" s="27">
        <f>SUM(C195,C196)</f>
        <v>16</v>
      </c>
      <c r="D197" s="27">
        <f>SUM(D195,D196)</f>
        <v>40.260000000000005</v>
      </c>
      <c r="E197" s="134">
        <f>SUM(E178:E193)</f>
        <v>26.32</v>
      </c>
      <c r="F197" s="27"/>
      <c r="G197" s="27"/>
      <c r="H197" s="28">
        <f>SUM(H195,H196)</f>
        <v>0</v>
      </c>
      <c r="I197" s="135">
        <f>(H197/E197)</f>
        <v>0</v>
      </c>
      <c r="J197" s="27">
        <f>SUM(J195,J196)</f>
        <v>29.029999999999998</v>
      </c>
      <c r="K197" s="136">
        <f>SUM(K195,K196)</f>
        <v>14.45</v>
      </c>
      <c r="L197" s="27">
        <f>SUM(L195,L196)</f>
        <v>13.44</v>
      </c>
      <c r="M197" s="48">
        <f>SUM(M195,M196)</f>
        <v>11.870000000000001</v>
      </c>
      <c r="N197" s="27"/>
      <c r="O197" s="158">
        <f>SUM(O195:O196)</f>
        <v>116480</v>
      </c>
      <c r="P197" s="28">
        <f aca="true" t="shared" si="109" ref="P197:U197">SUM(P195,P196)</f>
        <v>12.2304</v>
      </c>
      <c r="Q197" s="28">
        <f t="shared" si="109"/>
        <v>9.784320000000001</v>
      </c>
      <c r="R197" s="28">
        <f t="shared" si="109"/>
        <v>1.7091999999999998</v>
      </c>
      <c r="S197" s="27">
        <f t="shared" si="109"/>
        <v>1</v>
      </c>
      <c r="T197" s="28">
        <f t="shared" si="109"/>
        <v>49.7812</v>
      </c>
      <c r="U197" s="134">
        <f t="shared" si="109"/>
        <v>33.39512</v>
      </c>
      <c r="V197" s="33"/>
      <c r="W197" s="33"/>
      <c r="X197" s="28">
        <f>SUM(X195,X196)</f>
        <v>24.89362</v>
      </c>
      <c r="Y197" s="135">
        <f>SUM(X197/U197)</f>
        <v>0.7454268767412724</v>
      </c>
      <c r="Z197" s="33">
        <f>SUM(Z195:Z196)</f>
        <v>9.24</v>
      </c>
      <c r="AA197" s="33">
        <f>SUM(AA195+AA196)</f>
        <v>20.549999999999997</v>
      </c>
      <c r="AB197" s="33">
        <f>SUM(AB195:AB196)</f>
        <v>33.39512</v>
      </c>
      <c r="AC197" s="136">
        <f>SUM(AC178:AC193)</f>
        <v>23.376583999999998</v>
      </c>
      <c r="AD197" s="118">
        <f>SUM(AD178:AD193)</f>
        <v>8.926584</v>
      </c>
      <c r="AE197" s="166">
        <f>SUM(AE178:AE193)</f>
        <v>6.248608799999999</v>
      </c>
      <c r="AF197" s="31"/>
    </row>
    <row r="198" spans="1:32" ht="14.25">
      <c r="A198" s="77" t="s">
        <v>182</v>
      </c>
      <c r="B198" s="77"/>
      <c r="C198" s="76"/>
      <c r="D198" s="75"/>
      <c r="E198" s="75"/>
      <c r="F198" s="76"/>
      <c r="G198" s="76"/>
      <c r="H198" s="76"/>
      <c r="I198" s="76"/>
      <c r="J198" s="75"/>
      <c r="K198" s="76"/>
      <c r="L198" s="75"/>
      <c r="M198" s="76"/>
      <c r="N198" s="76"/>
      <c r="O198" s="73">
        <v>247251</v>
      </c>
      <c r="P198" s="75"/>
      <c r="Q198" s="75"/>
      <c r="R198" s="75"/>
      <c r="S198" s="75"/>
      <c r="T198" s="75"/>
      <c r="U198" s="75"/>
      <c r="V198" s="75"/>
      <c r="W198" s="75"/>
      <c r="X198" s="75"/>
      <c r="Y198" s="75"/>
      <c r="Z198" s="75"/>
      <c r="AA198" s="75"/>
      <c r="AB198" s="75"/>
      <c r="AC198" s="75"/>
      <c r="AD198" s="75"/>
      <c r="AE198" s="75"/>
      <c r="AF198" s="5" t="s">
        <v>265</v>
      </c>
    </row>
    <row r="199" spans="1:32" ht="12.75">
      <c r="A199" s="77" t="s">
        <v>173</v>
      </c>
      <c r="B199" s="77"/>
      <c r="C199" s="76"/>
      <c r="D199" s="75"/>
      <c r="E199" s="75"/>
      <c r="F199" s="76"/>
      <c r="G199" s="76"/>
      <c r="H199" s="76"/>
      <c r="I199" s="76"/>
      <c r="J199" s="75"/>
      <c r="K199" s="76"/>
      <c r="L199" s="75"/>
      <c r="M199" s="76"/>
      <c r="N199" s="76"/>
      <c r="O199" s="74">
        <f>SUM(O197/O198)</f>
        <v>0.47110021799709606</v>
      </c>
      <c r="P199" s="75"/>
      <c r="Q199" s="75"/>
      <c r="R199" s="75"/>
      <c r="S199" s="75"/>
      <c r="T199" s="75"/>
      <c r="U199" s="75"/>
      <c r="V199" s="75"/>
      <c r="W199" s="75"/>
      <c r="X199" s="75"/>
      <c r="Y199" s="75"/>
      <c r="Z199" s="75"/>
      <c r="AA199" s="75"/>
      <c r="AB199" s="75"/>
      <c r="AC199" s="75"/>
      <c r="AD199" s="75"/>
      <c r="AE199" s="75"/>
      <c r="AF199" s="5"/>
    </row>
    <row r="200" spans="1:32" ht="12.75">
      <c r="A200" s="77"/>
      <c r="B200" s="77"/>
      <c r="C200" s="76"/>
      <c r="D200" s="75"/>
      <c r="E200" s="75"/>
      <c r="F200" s="76"/>
      <c r="G200" s="76"/>
      <c r="H200" s="76"/>
      <c r="I200" s="76"/>
      <c r="J200" s="75"/>
      <c r="K200" s="76"/>
      <c r="L200" s="75"/>
      <c r="M200" s="76"/>
      <c r="N200" s="76"/>
      <c r="O200" s="83"/>
      <c r="P200" s="75"/>
      <c r="Q200" s="75"/>
      <c r="R200" s="75"/>
      <c r="S200" s="75"/>
      <c r="T200" s="75"/>
      <c r="U200" s="75"/>
      <c r="V200" s="75"/>
      <c r="W200" s="75"/>
      <c r="X200" s="75"/>
      <c r="Y200" s="75"/>
      <c r="Z200" s="75"/>
      <c r="AA200" s="75"/>
      <c r="AB200" s="75"/>
      <c r="AC200" s="75"/>
      <c r="AD200" s="75"/>
      <c r="AE200" s="75"/>
      <c r="AF200" s="5"/>
    </row>
    <row r="201" spans="1:32" ht="12.75">
      <c r="A201" s="194" t="s">
        <v>333</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row>
    <row r="202" spans="1:32" ht="12.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row>
    <row r="203" spans="1:32" ht="12.75">
      <c r="A203" s="140" t="s">
        <v>413</v>
      </c>
      <c r="B203" s="77"/>
      <c r="C203" s="76"/>
      <c r="D203" s="75"/>
      <c r="E203" s="75"/>
      <c r="F203" s="76"/>
      <c r="G203" s="76"/>
      <c r="H203" s="76"/>
      <c r="I203" s="76"/>
      <c r="J203" s="75"/>
      <c r="K203" s="76"/>
      <c r="L203" s="75"/>
      <c r="M203" s="76"/>
      <c r="N203" s="76"/>
      <c r="O203" s="83"/>
      <c r="P203" s="75"/>
      <c r="Q203" s="75"/>
      <c r="R203" s="75"/>
      <c r="S203" s="75"/>
      <c r="T203" s="75"/>
      <c r="U203" s="75"/>
      <c r="V203" s="75"/>
      <c r="W203" s="75"/>
      <c r="X203" s="75"/>
      <c r="Y203" s="75"/>
      <c r="Z203" s="75"/>
      <c r="AA203" s="75"/>
      <c r="AB203" s="75"/>
      <c r="AC203" s="75"/>
      <c r="AD203" s="75"/>
      <c r="AE203" s="75"/>
      <c r="AF203" s="5"/>
    </row>
    <row r="204" spans="1:32" ht="15" customHeight="1">
      <c r="A204" s="206"/>
      <c r="B204" s="64"/>
      <c r="C204" s="10"/>
      <c r="D204" s="198" t="s">
        <v>285</v>
      </c>
      <c r="E204" s="198"/>
      <c r="F204" s="199" t="s">
        <v>286</v>
      </c>
      <c r="G204" s="199"/>
      <c r="H204" s="113" t="s">
        <v>131</v>
      </c>
      <c r="I204" s="109">
        <v>2010</v>
      </c>
      <c r="J204" s="208" t="s">
        <v>287</v>
      </c>
      <c r="K204" s="208"/>
      <c r="L204" s="209" t="s">
        <v>288</v>
      </c>
      <c r="M204" s="209"/>
      <c r="N204" s="10">
        <v>2010</v>
      </c>
      <c r="O204" s="68" t="s">
        <v>289</v>
      </c>
      <c r="P204" s="199" t="s">
        <v>290</v>
      </c>
      <c r="Q204" s="199"/>
      <c r="R204" s="199" t="s">
        <v>291</v>
      </c>
      <c r="S204" s="199"/>
      <c r="T204" s="198" t="s">
        <v>292</v>
      </c>
      <c r="U204" s="198"/>
      <c r="V204" s="199" t="s">
        <v>293</v>
      </c>
      <c r="W204" s="199"/>
      <c r="X204" s="114" t="s">
        <v>298</v>
      </c>
      <c r="Y204" s="114" t="s">
        <v>299</v>
      </c>
      <c r="Z204" s="200" t="s">
        <v>294</v>
      </c>
      <c r="AA204" s="40">
        <v>2020</v>
      </c>
      <c r="AB204" s="207" t="s">
        <v>295</v>
      </c>
      <c r="AC204" s="208"/>
      <c r="AD204" s="61" t="s">
        <v>296</v>
      </c>
      <c r="AE204" s="57" t="s">
        <v>296</v>
      </c>
      <c r="AF204" s="10"/>
    </row>
    <row r="205" spans="1:32" ht="15" customHeight="1">
      <c r="A205" s="206"/>
      <c r="B205" s="66" t="s">
        <v>153</v>
      </c>
      <c r="C205" s="10" t="s">
        <v>0</v>
      </c>
      <c r="D205" s="198"/>
      <c r="E205" s="198"/>
      <c r="F205" s="199"/>
      <c r="G205" s="199"/>
      <c r="H205" s="113"/>
      <c r="I205" s="109" t="s">
        <v>131</v>
      </c>
      <c r="J205" s="208"/>
      <c r="K205" s="208"/>
      <c r="L205" s="209"/>
      <c r="M205" s="209"/>
      <c r="N205" s="10" t="s">
        <v>2</v>
      </c>
      <c r="O205" s="68" t="s">
        <v>161</v>
      </c>
      <c r="P205" s="199"/>
      <c r="Q205" s="199"/>
      <c r="R205" s="199"/>
      <c r="S205" s="199"/>
      <c r="T205" s="198"/>
      <c r="U205" s="198"/>
      <c r="V205" s="199"/>
      <c r="W205" s="199"/>
      <c r="X205" s="114" t="s">
        <v>131</v>
      </c>
      <c r="Y205" s="114"/>
      <c r="Z205" s="201"/>
      <c r="AA205" s="41" t="s">
        <v>145</v>
      </c>
      <c r="AB205" s="207"/>
      <c r="AC205" s="208"/>
      <c r="AD205" s="61" t="s">
        <v>145</v>
      </c>
      <c r="AE205" s="57" t="s">
        <v>297</v>
      </c>
      <c r="AF205" s="10" t="s">
        <v>3</v>
      </c>
    </row>
    <row r="206" spans="1:32" ht="12.75" customHeight="1">
      <c r="A206" s="206"/>
      <c r="B206" s="66" t="s">
        <v>151</v>
      </c>
      <c r="C206" s="10" t="s">
        <v>1</v>
      </c>
      <c r="D206" s="198"/>
      <c r="E206" s="198"/>
      <c r="F206" s="199"/>
      <c r="G206" s="199"/>
      <c r="H206" s="113"/>
      <c r="I206" s="109"/>
      <c r="J206" s="208"/>
      <c r="K206" s="208"/>
      <c r="L206" s="209"/>
      <c r="M206" s="209"/>
      <c r="N206" s="10" t="s">
        <v>97</v>
      </c>
      <c r="O206" s="68" t="s">
        <v>270</v>
      </c>
      <c r="P206" s="199"/>
      <c r="Q206" s="199"/>
      <c r="R206" s="199"/>
      <c r="S206" s="199"/>
      <c r="T206" s="198"/>
      <c r="U206" s="198"/>
      <c r="V206" s="199"/>
      <c r="W206" s="199"/>
      <c r="X206" s="109"/>
      <c r="Y206" s="109"/>
      <c r="Z206" s="202"/>
      <c r="AA206" s="39" t="s">
        <v>143</v>
      </c>
      <c r="AB206" s="208"/>
      <c r="AC206" s="208"/>
      <c r="AD206" s="61"/>
      <c r="AE206" s="57"/>
      <c r="AF206" s="125"/>
    </row>
    <row r="207" spans="1:32" ht="54" customHeight="1">
      <c r="A207" s="78" t="s">
        <v>208</v>
      </c>
      <c r="B207" s="10" t="s">
        <v>154</v>
      </c>
      <c r="C207" s="10" t="s">
        <v>302</v>
      </c>
      <c r="D207" s="10" t="s">
        <v>5</v>
      </c>
      <c r="E207" s="11" t="s">
        <v>7</v>
      </c>
      <c r="F207" s="10" t="s">
        <v>95</v>
      </c>
      <c r="G207" s="10" t="s">
        <v>96</v>
      </c>
      <c r="H207" s="113" t="s">
        <v>7</v>
      </c>
      <c r="I207" s="109"/>
      <c r="J207" s="10" t="s">
        <v>5</v>
      </c>
      <c r="K207" s="12" t="s">
        <v>277</v>
      </c>
      <c r="L207" s="10" t="s">
        <v>5</v>
      </c>
      <c r="M207" s="42" t="s">
        <v>7</v>
      </c>
      <c r="N207" s="10"/>
      <c r="O207" s="68"/>
      <c r="P207" s="10" t="s">
        <v>5</v>
      </c>
      <c r="Q207" s="10" t="s">
        <v>7</v>
      </c>
      <c r="R207" s="10" t="s">
        <v>272</v>
      </c>
      <c r="S207" s="10" t="s">
        <v>273</v>
      </c>
      <c r="T207" s="10" t="s">
        <v>5</v>
      </c>
      <c r="U207" s="11" t="s">
        <v>7</v>
      </c>
      <c r="V207" s="10" t="s">
        <v>95</v>
      </c>
      <c r="W207" s="10" t="s">
        <v>96</v>
      </c>
      <c r="X207" s="109"/>
      <c r="Y207" s="109"/>
      <c r="Z207" s="10"/>
      <c r="AA207" s="10"/>
      <c r="AB207" s="10" t="s">
        <v>5</v>
      </c>
      <c r="AC207" s="12" t="s">
        <v>334</v>
      </c>
      <c r="AD207" s="61" t="s">
        <v>335</v>
      </c>
      <c r="AE207" s="57" t="s">
        <v>336</v>
      </c>
      <c r="AF207" s="125"/>
    </row>
    <row r="208" spans="1:32" ht="12.75">
      <c r="A208" s="10"/>
      <c r="B208" s="10"/>
      <c r="C208" s="125"/>
      <c r="D208" s="10" t="s">
        <v>6</v>
      </c>
      <c r="E208" s="11" t="s">
        <v>6</v>
      </c>
      <c r="F208" s="10"/>
      <c r="G208" s="10"/>
      <c r="H208" s="113" t="s">
        <v>6</v>
      </c>
      <c r="I208" s="109" t="s">
        <v>300</v>
      </c>
      <c r="J208" s="10" t="s">
        <v>6</v>
      </c>
      <c r="K208" s="12" t="s">
        <v>6</v>
      </c>
      <c r="L208" s="10" t="s">
        <v>6</v>
      </c>
      <c r="M208" s="42" t="s">
        <v>6</v>
      </c>
      <c r="N208" s="125"/>
      <c r="O208" s="126"/>
      <c r="P208" s="10" t="s">
        <v>6</v>
      </c>
      <c r="Q208" s="10" t="s">
        <v>6</v>
      </c>
      <c r="R208" s="10" t="s">
        <v>6</v>
      </c>
      <c r="S208" s="10" t="s">
        <v>6</v>
      </c>
      <c r="T208" s="10" t="s">
        <v>6</v>
      </c>
      <c r="U208" s="11" t="s">
        <v>6</v>
      </c>
      <c r="V208" s="10"/>
      <c r="W208" s="10"/>
      <c r="X208" s="109" t="s">
        <v>6</v>
      </c>
      <c r="Y208" s="109" t="s">
        <v>300</v>
      </c>
      <c r="Z208" s="10" t="s">
        <v>6</v>
      </c>
      <c r="AA208" s="10" t="s">
        <v>6</v>
      </c>
      <c r="AB208" s="10" t="s">
        <v>6</v>
      </c>
      <c r="AC208" s="12" t="s">
        <v>6</v>
      </c>
      <c r="AD208" s="61" t="s">
        <v>6</v>
      </c>
      <c r="AE208" s="57" t="s">
        <v>6</v>
      </c>
      <c r="AF208" s="125"/>
    </row>
    <row r="209" spans="1:32" ht="12.75">
      <c r="A209" s="10" t="s">
        <v>4</v>
      </c>
      <c r="B209" s="10"/>
      <c r="C209" s="125"/>
      <c r="D209" s="125"/>
      <c r="E209" s="127"/>
      <c r="F209" s="125"/>
      <c r="G209" s="125"/>
      <c r="H209" s="125"/>
      <c r="I209" s="125"/>
      <c r="J209" s="125"/>
      <c r="K209" s="128"/>
      <c r="L209" s="125"/>
      <c r="M209" s="129"/>
      <c r="N209" s="125"/>
      <c r="O209" s="126"/>
      <c r="P209" s="125"/>
      <c r="Q209" s="125"/>
      <c r="R209" s="125"/>
      <c r="S209" s="125"/>
      <c r="T209" s="125"/>
      <c r="U209" s="13"/>
      <c r="V209" s="44"/>
      <c r="W209" s="44"/>
      <c r="X209" s="44"/>
      <c r="Y209" s="44"/>
      <c r="Z209" s="125"/>
      <c r="AA209" s="125"/>
      <c r="AB209" s="125"/>
      <c r="AC209" s="128"/>
      <c r="AD209" s="121"/>
      <c r="AE209" s="130"/>
      <c r="AF209" s="125"/>
    </row>
    <row r="210" spans="1:32" ht="15">
      <c r="A210" s="54" t="s">
        <v>56</v>
      </c>
      <c r="B210" s="54"/>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row>
    <row r="211" spans="1:32" ht="38.25">
      <c r="A211" s="16" t="s">
        <v>57</v>
      </c>
      <c r="B211" s="16" t="s">
        <v>157</v>
      </c>
      <c r="C211" s="17" t="s">
        <v>140</v>
      </c>
      <c r="D211" s="18">
        <v>5</v>
      </c>
      <c r="E211" s="46">
        <v>2.6</v>
      </c>
      <c r="F211" s="17" t="s">
        <v>131</v>
      </c>
      <c r="G211" s="17" t="s">
        <v>127</v>
      </c>
      <c r="H211" s="18">
        <v>2.6</v>
      </c>
      <c r="I211" s="17"/>
      <c r="J211" s="18">
        <v>3.41</v>
      </c>
      <c r="K211" s="37">
        <v>0.98</v>
      </c>
      <c r="L211" s="18">
        <f aca="true" t="shared" si="110" ref="L211:L218">SUM(D211)</f>
        <v>5</v>
      </c>
      <c r="M211" s="47">
        <f aca="true" t="shared" si="111" ref="M211:M220">SUM(E211-K211)</f>
        <v>1.62</v>
      </c>
      <c r="N211" s="17" t="s">
        <v>347</v>
      </c>
      <c r="O211" s="131">
        <v>743</v>
      </c>
      <c r="P211" s="18">
        <f aca="true" t="shared" si="112" ref="P211:P225">SUM(O211*84)*(1.25)/1000000</f>
        <v>0.078015</v>
      </c>
      <c r="Q211" s="18">
        <f aca="true" t="shared" si="113" ref="Q211:Q225">SUM(O211*84)/1000000</f>
        <v>0.062412</v>
      </c>
      <c r="R211" s="18">
        <f aca="true" t="shared" si="114" ref="R211:R220">SUM(E211*0.06)</f>
        <v>0.156</v>
      </c>
      <c r="S211" s="18"/>
      <c r="T211" s="18">
        <f aca="true" t="shared" si="115" ref="T211:T221">SUM(D211+P211)-(R211+S211)</f>
        <v>4.922015</v>
      </c>
      <c r="U211" s="46">
        <f aca="true" t="shared" si="116" ref="U211:U221">SUM(E211+Q211)-(R211+S211)</f>
        <v>2.506412</v>
      </c>
      <c r="V211" s="50" t="s">
        <v>131</v>
      </c>
      <c r="W211" s="50" t="s">
        <v>144</v>
      </c>
      <c r="X211" s="50">
        <f aca="true" t="shared" si="117" ref="X211:X220">SUM(U211)</f>
        <v>2.506412</v>
      </c>
      <c r="Y211" s="50"/>
      <c r="Z211" s="159">
        <v>0.53</v>
      </c>
      <c r="AA211" s="18">
        <f aca="true" t="shared" si="118" ref="AA211:AA221">K211+Z211</f>
        <v>1.51</v>
      </c>
      <c r="AB211" s="18">
        <f>SUM(U211)</f>
        <v>2.506412</v>
      </c>
      <c r="AC211" s="37">
        <f aca="true" t="shared" si="119" ref="AC211:AC218">SUM(U211)*0.7</f>
        <v>1.7544883999999998</v>
      </c>
      <c r="AD211" s="62">
        <f aca="true" t="shared" si="120" ref="AD211:AD221">SUM(AC211-K211)</f>
        <v>0.7744883999999999</v>
      </c>
      <c r="AE211" s="58">
        <f>SUM(AD211*0.7)</f>
        <v>0.5421418799999999</v>
      </c>
      <c r="AF211" s="17" t="s">
        <v>378</v>
      </c>
    </row>
    <row r="212" spans="1:32" ht="25.5">
      <c r="A212" s="16" t="s">
        <v>58</v>
      </c>
      <c r="B212" s="16" t="s">
        <v>157</v>
      </c>
      <c r="C212" s="17" t="s">
        <v>140</v>
      </c>
      <c r="D212" s="18">
        <v>10</v>
      </c>
      <c r="E212" s="46">
        <v>6</v>
      </c>
      <c r="F212" s="17" t="s">
        <v>131</v>
      </c>
      <c r="G212" s="17" t="s">
        <v>127</v>
      </c>
      <c r="H212" s="18">
        <v>6</v>
      </c>
      <c r="I212" s="17"/>
      <c r="J212" s="18">
        <v>3.41</v>
      </c>
      <c r="K212" s="37">
        <v>0.98</v>
      </c>
      <c r="L212" s="18">
        <f t="shared" si="110"/>
        <v>10</v>
      </c>
      <c r="M212" s="47">
        <f t="shared" si="111"/>
        <v>5.02</v>
      </c>
      <c r="N212" s="17" t="s">
        <v>348</v>
      </c>
      <c r="O212" s="131">
        <v>743</v>
      </c>
      <c r="P212" s="18">
        <f t="shared" si="112"/>
        <v>0.078015</v>
      </c>
      <c r="Q212" s="18">
        <f t="shared" si="113"/>
        <v>0.062412</v>
      </c>
      <c r="R212" s="18">
        <f t="shared" si="114"/>
        <v>0.36</v>
      </c>
      <c r="S212" s="18"/>
      <c r="T212" s="18">
        <f t="shared" si="115"/>
        <v>9.718015000000001</v>
      </c>
      <c r="U212" s="46">
        <f t="shared" si="116"/>
        <v>5.702412</v>
      </c>
      <c r="V212" s="50" t="s">
        <v>131</v>
      </c>
      <c r="W212" s="50" t="s">
        <v>144</v>
      </c>
      <c r="X212" s="50">
        <f t="shared" si="117"/>
        <v>5.702412</v>
      </c>
      <c r="Y212" s="50"/>
      <c r="Z212" s="18">
        <v>0.72</v>
      </c>
      <c r="AA212" s="18">
        <f t="shared" si="118"/>
        <v>1.7</v>
      </c>
      <c r="AB212" s="18">
        <f>SUM(U212)</f>
        <v>5.702412</v>
      </c>
      <c r="AC212" s="37">
        <f t="shared" si="119"/>
        <v>3.9916883999999997</v>
      </c>
      <c r="AD212" s="62">
        <f t="shared" si="120"/>
        <v>3.0116883999999997</v>
      </c>
      <c r="AE212" s="58">
        <f aca="true" t="shared" si="121" ref="AE212:AE221">SUM(AD212*0.7)</f>
        <v>2.1081818799999996</v>
      </c>
      <c r="AF212" s="17" t="s">
        <v>267</v>
      </c>
    </row>
    <row r="213" spans="1:32" ht="25.5">
      <c r="A213" s="16" t="s">
        <v>59</v>
      </c>
      <c r="B213" s="16" t="s">
        <v>157</v>
      </c>
      <c r="C213" s="17" t="s">
        <v>140</v>
      </c>
      <c r="D213" s="18">
        <v>13.5</v>
      </c>
      <c r="E213" s="46">
        <v>5.7</v>
      </c>
      <c r="F213" s="17" t="s">
        <v>131</v>
      </c>
      <c r="G213" s="17" t="s">
        <v>127</v>
      </c>
      <c r="H213" s="18">
        <v>5.7</v>
      </c>
      <c r="I213" s="17"/>
      <c r="J213" s="18">
        <v>3.41</v>
      </c>
      <c r="K213" s="37">
        <v>0.98</v>
      </c>
      <c r="L213" s="18">
        <f t="shared" si="110"/>
        <v>13.5</v>
      </c>
      <c r="M213" s="47">
        <f t="shared" si="111"/>
        <v>4.720000000000001</v>
      </c>
      <c r="N213" s="17" t="s">
        <v>349</v>
      </c>
      <c r="O213" s="131">
        <v>743</v>
      </c>
      <c r="P213" s="18">
        <f t="shared" si="112"/>
        <v>0.078015</v>
      </c>
      <c r="Q213" s="18">
        <f t="shared" si="113"/>
        <v>0.062412</v>
      </c>
      <c r="R213" s="18">
        <f t="shared" si="114"/>
        <v>0.34199999999999997</v>
      </c>
      <c r="S213" s="18"/>
      <c r="T213" s="18">
        <f t="shared" si="115"/>
        <v>13.236015</v>
      </c>
      <c r="U213" s="46">
        <f t="shared" si="116"/>
        <v>5.420412000000001</v>
      </c>
      <c r="V213" s="50" t="s">
        <v>131</v>
      </c>
      <c r="W213" s="50" t="s">
        <v>144</v>
      </c>
      <c r="X213" s="50">
        <f t="shared" si="117"/>
        <v>5.420412000000001</v>
      </c>
      <c r="Y213" s="50"/>
      <c r="Z213" s="18">
        <v>0.31</v>
      </c>
      <c r="AA213" s="18">
        <f t="shared" si="118"/>
        <v>1.29</v>
      </c>
      <c r="AB213" s="18">
        <f aca="true" t="shared" si="122" ref="AB213:AB225">SUM(U213)</f>
        <v>5.420412000000001</v>
      </c>
      <c r="AC213" s="37">
        <f t="shared" si="119"/>
        <v>3.7942884</v>
      </c>
      <c r="AD213" s="62">
        <f t="shared" si="120"/>
        <v>2.8142884</v>
      </c>
      <c r="AE213" s="58">
        <f t="shared" si="121"/>
        <v>1.9700018799999999</v>
      </c>
      <c r="AF213" s="17">
        <v>1</v>
      </c>
    </row>
    <row r="214" spans="1:32" ht="25.5">
      <c r="A214" s="16" t="s">
        <v>60</v>
      </c>
      <c r="B214" s="16" t="s">
        <v>157</v>
      </c>
      <c r="C214" s="17" t="s">
        <v>140</v>
      </c>
      <c r="D214" s="18">
        <v>6</v>
      </c>
      <c r="E214" s="46">
        <v>4.5</v>
      </c>
      <c r="F214" s="17" t="s">
        <v>131</v>
      </c>
      <c r="G214" s="17" t="s">
        <v>127</v>
      </c>
      <c r="H214" s="18">
        <v>4.5</v>
      </c>
      <c r="I214" s="17"/>
      <c r="J214" s="18">
        <v>3.9</v>
      </c>
      <c r="K214" s="37">
        <v>2.5</v>
      </c>
      <c r="L214" s="18">
        <f t="shared" si="110"/>
        <v>6</v>
      </c>
      <c r="M214" s="47">
        <f t="shared" si="111"/>
        <v>2</v>
      </c>
      <c r="N214" s="17" t="s">
        <v>350</v>
      </c>
      <c r="O214" s="131">
        <v>231</v>
      </c>
      <c r="P214" s="18">
        <f t="shared" si="112"/>
        <v>0.024255</v>
      </c>
      <c r="Q214" s="18">
        <f t="shared" si="113"/>
        <v>0.019404</v>
      </c>
      <c r="R214" s="18">
        <f t="shared" si="114"/>
        <v>0.27</v>
      </c>
      <c r="S214" s="18">
        <v>0</v>
      </c>
      <c r="T214" s="18">
        <f t="shared" si="115"/>
        <v>5.754255000000001</v>
      </c>
      <c r="U214" s="46">
        <f t="shared" si="116"/>
        <v>4.249404</v>
      </c>
      <c r="V214" s="50" t="s">
        <v>131</v>
      </c>
      <c r="W214" s="50" t="s">
        <v>144</v>
      </c>
      <c r="X214" s="50">
        <f t="shared" si="117"/>
        <v>4.249404</v>
      </c>
      <c r="Y214" s="50"/>
      <c r="Z214" s="18">
        <v>0</v>
      </c>
      <c r="AA214" s="18">
        <f t="shared" si="118"/>
        <v>2.5</v>
      </c>
      <c r="AB214" s="18">
        <f t="shared" si="122"/>
        <v>4.249404</v>
      </c>
      <c r="AC214" s="37">
        <f t="shared" si="119"/>
        <v>2.9745828</v>
      </c>
      <c r="AD214" s="62">
        <f t="shared" si="120"/>
        <v>0.47458279999999986</v>
      </c>
      <c r="AE214" s="58">
        <f t="shared" si="121"/>
        <v>0.33220795999999986</v>
      </c>
      <c r="AF214" s="17" t="s">
        <v>379</v>
      </c>
    </row>
    <row r="215" spans="1:32" ht="25.5">
      <c r="A215" s="16" t="s">
        <v>61</v>
      </c>
      <c r="B215" s="16" t="s">
        <v>157</v>
      </c>
      <c r="C215" s="17" t="s">
        <v>140</v>
      </c>
      <c r="D215" s="18">
        <v>18</v>
      </c>
      <c r="E215" s="46">
        <v>11.74</v>
      </c>
      <c r="F215" s="17" t="s">
        <v>131</v>
      </c>
      <c r="G215" s="17" t="s">
        <v>127</v>
      </c>
      <c r="H215" s="18">
        <v>11.74</v>
      </c>
      <c r="I215" s="17"/>
      <c r="J215" s="18">
        <v>17</v>
      </c>
      <c r="K215" s="37">
        <v>4.69</v>
      </c>
      <c r="L215" s="18">
        <f t="shared" si="110"/>
        <v>18</v>
      </c>
      <c r="M215" s="47">
        <f t="shared" si="111"/>
        <v>7.05</v>
      </c>
      <c r="N215" s="17" t="s">
        <v>115</v>
      </c>
      <c r="O215" s="131">
        <v>0</v>
      </c>
      <c r="P215" s="18">
        <f t="shared" si="112"/>
        <v>0</v>
      </c>
      <c r="Q215" s="18">
        <f t="shared" si="113"/>
        <v>0</v>
      </c>
      <c r="R215" s="18">
        <f t="shared" si="114"/>
        <v>0.7044</v>
      </c>
      <c r="S215" s="18"/>
      <c r="T215" s="18">
        <f t="shared" si="115"/>
        <v>17.2956</v>
      </c>
      <c r="U215" s="46">
        <f t="shared" si="116"/>
        <v>11.0356</v>
      </c>
      <c r="V215" s="50" t="s">
        <v>131</v>
      </c>
      <c r="W215" s="50" t="s">
        <v>144</v>
      </c>
      <c r="X215" s="50">
        <f t="shared" si="117"/>
        <v>11.0356</v>
      </c>
      <c r="Y215" s="50"/>
      <c r="Z215" s="18">
        <v>0</v>
      </c>
      <c r="AA215" s="18">
        <f t="shared" si="118"/>
        <v>4.69</v>
      </c>
      <c r="AB215" s="18">
        <f t="shared" si="122"/>
        <v>11.0356</v>
      </c>
      <c r="AC215" s="37">
        <f t="shared" si="119"/>
        <v>7.72492</v>
      </c>
      <c r="AD215" s="62">
        <f t="shared" si="120"/>
        <v>3.0349199999999996</v>
      </c>
      <c r="AE215" s="58">
        <f t="shared" si="121"/>
        <v>2.1244439999999996</v>
      </c>
      <c r="AF215" s="17" t="s">
        <v>266</v>
      </c>
    </row>
    <row r="216" spans="1:32" ht="12.75">
      <c r="A216" s="16" t="s">
        <v>62</v>
      </c>
      <c r="B216" s="16" t="s">
        <v>157</v>
      </c>
      <c r="C216" s="17" t="s">
        <v>140</v>
      </c>
      <c r="D216" s="18">
        <v>0.9</v>
      </c>
      <c r="E216" s="46">
        <v>0.74</v>
      </c>
      <c r="F216" s="17" t="s">
        <v>131</v>
      </c>
      <c r="G216" s="17" t="s">
        <v>127</v>
      </c>
      <c r="H216" s="18">
        <v>0.74</v>
      </c>
      <c r="I216" s="17"/>
      <c r="J216" s="18">
        <v>0</v>
      </c>
      <c r="K216" s="37">
        <v>0</v>
      </c>
      <c r="L216" s="18">
        <f t="shared" si="110"/>
        <v>0.9</v>
      </c>
      <c r="M216" s="47">
        <f t="shared" si="111"/>
        <v>0.74</v>
      </c>
      <c r="N216" s="17"/>
      <c r="O216" s="131">
        <v>0</v>
      </c>
      <c r="P216" s="18">
        <f t="shared" si="112"/>
        <v>0</v>
      </c>
      <c r="Q216" s="18">
        <f t="shared" si="113"/>
        <v>0</v>
      </c>
      <c r="R216" s="18">
        <f t="shared" si="114"/>
        <v>0.044399999999999995</v>
      </c>
      <c r="S216" s="18"/>
      <c r="T216" s="18">
        <f t="shared" si="115"/>
        <v>0.8556</v>
      </c>
      <c r="U216" s="46">
        <f t="shared" si="116"/>
        <v>0.6956</v>
      </c>
      <c r="V216" s="50" t="s">
        <v>131</v>
      </c>
      <c r="W216" s="50" t="s">
        <v>144</v>
      </c>
      <c r="X216" s="50">
        <f t="shared" si="117"/>
        <v>0.6956</v>
      </c>
      <c r="Y216" s="50"/>
      <c r="Z216" s="18"/>
      <c r="AA216" s="18">
        <f t="shared" si="118"/>
        <v>0</v>
      </c>
      <c r="AB216" s="18">
        <f t="shared" si="122"/>
        <v>0.6956</v>
      </c>
      <c r="AC216" s="37">
        <f t="shared" si="119"/>
        <v>0.48691999999999996</v>
      </c>
      <c r="AD216" s="62">
        <f t="shared" si="120"/>
        <v>0.48691999999999996</v>
      </c>
      <c r="AE216" s="58">
        <f t="shared" si="121"/>
        <v>0.340844</v>
      </c>
      <c r="AF216" s="17" t="s">
        <v>105</v>
      </c>
    </row>
    <row r="217" spans="1:32" ht="25.5">
      <c r="A217" s="16" t="s">
        <v>63</v>
      </c>
      <c r="B217" s="16" t="s">
        <v>157</v>
      </c>
      <c r="C217" s="17" t="s">
        <v>140</v>
      </c>
      <c r="D217" s="18">
        <v>2.25</v>
      </c>
      <c r="E217" s="46">
        <v>1.53</v>
      </c>
      <c r="F217" s="17" t="s">
        <v>131</v>
      </c>
      <c r="G217" s="17" t="s">
        <v>127</v>
      </c>
      <c r="H217" s="18">
        <v>1.53</v>
      </c>
      <c r="I217" s="17"/>
      <c r="J217" s="18">
        <v>2.31</v>
      </c>
      <c r="K217" s="37">
        <v>0.66</v>
      </c>
      <c r="L217" s="18">
        <f t="shared" si="110"/>
        <v>2.25</v>
      </c>
      <c r="M217" s="47">
        <f t="shared" si="111"/>
        <v>0.87</v>
      </c>
      <c r="N217" s="17" t="s">
        <v>116</v>
      </c>
      <c r="O217" s="131">
        <v>491</v>
      </c>
      <c r="P217" s="18">
        <f t="shared" si="112"/>
        <v>0.051555</v>
      </c>
      <c r="Q217" s="18">
        <f t="shared" si="113"/>
        <v>0.041244</v>
      </c>
      <c r="R217" s="18">
        <f t="shared" si="114"/>
        <v>0.09179999999999999</v>
      </c>
      <c r="S217" s="18"/>
      <c r="T217" s="18">
        <f t="shared" si="115"/>
        <v>2.209755</v>
      </c>
      <c r="U217" s="46">
        <f t="shared" si="116"/>
        <v>1.479444</v>
      </c>
      <c r="V217" s="50" t="s">
        <v>131</v>
      </c>
      <c r="W217" s="50" t="s">
        <v>144</v>
      </c>
      <c r="X217" s="50">
        <f t="shared" si="117"/>
        <v>1.479444</v>
      </c>
      <c r="Y217" s="50"/>
      <c r="Z217" s="18">
        <v>0</v>
      </c>
      <c r="AA217" s="18">
        <f t="shared" si="118"/>
        <v>0.66</v>
      </c>
      <c r="AB217" s="18">
        <f t="shared" si="122"/>
        <v>1.479444</v>
      </c>
      <c r="AC217" s="37">
        <f t="shared" si="119"/>
        <v>1.0356108</v>
      </c>
      <c r="AD217" s="62">
        <f t="shared" si="120"/>
        <v>0.3756107999999999</v>
      </c>
      <c r="AE217" s="58">
        <f t="shared" si="121"/>
        <v>0.2629275599999999</v>
      </c>
      <c r="AF217" s="17" t="s">
        <v>380</v>
      </c>
    </row>
    <row r="218" spans="1:32" ht="12.75">
      <c r="A218" s="16" t="s">
        <v>46</v>
      </c>
      <c r="B218" s="16" t="s">
        <v>157</v>
      </c>
      <c r="C218" s="17" t="s">
        <v>140</v>
      </c>
      <c r="D218" s="18">
        <v>0.6</v>
      </c>
      <c r="E218" s="46">
        <v>0.39</v>
      </c>
      <c r="F218" s="17" t="s">
        <v>128</v>
      </c>
      <c r="G218" s="17" t="s">
        <v>127</v>
      </c>
      <c r="H218" s="18">
        <v>0</v>
      </c>
      <c r="I218" s="17"/>
      <c r="J218" s="18">
        <v>0.84</v>
      </c>
      <c r="K218" s="37">
        <v>0.38</v>
      </c>
      <c r="L218" s="18">
        <f t="shared" si="110"/>
        <v>0.6</v>
      </c>
      <c r="M218" s="47">
        <f t="shared" si="111"/>
        <v>0.010000000000000009</v>
      </c>
      <c r="N218" s="17" t="s">
        <v>110</v>
      </c>
      <c r="O218" s="131">
        <v>0</v>
      </c>
      <c r="P218" s="18">
        <f t="shared" si="112"/>
        <v>0</v>
      </c>
      <c r="Q218" s="18">
        <f t="shared" si="113"/>
        <v>0</v>
      </c>
      <c r="R218" s="18">
        <f t="shared" si="114"/>
        <v>0.0234</v>
      </c>
      <c r="S218" s="18"/>
      <c r="T218" s="18">
        <f t="shared" si="115"/>
        <v>0.5766</v>
      </c>
      <c r="U218" s="46">
        <f t="shared" si="116"/>
        <v>0.36660000000000004</v>
      </c>
      <c r="V218" s="50" t="s">
        <v>128</v>
      </c>
      <c r="W218" s="50" t="s">
        <v>144</v>
      </c>
      <c r="X218" s="50"/>
      <c r="Y218" s="50"/>
      <c r="Z218" s="18">
        <v>0</v>
      </c>
      <c r="AA218" s="18">
        <f t="shared" si="118"/>
        <v>0.38</v>
      </c>
      <c r="AB218" s="18">
        <f t="shared" si="122"/>
        <v>0.36660000000000004</v>
      </c>
      <c r="AC218" s="37">
        <f t="shared" si="119"/>
        <v>0.25662</v>
      </c>
      <c r="AD218" s="62">
        <f t="shared" si="120"/>
        <v>-0.12337999999999999</v>
      </c>
      <c r="AE218" s="58">
        <f t="shared" si="121"/>
        <v>-0.08636599999999998</v>
      </c>
      <c r="AF218" s="17" t="s">
        <v>280</v>
      </c>
    </row>
    <row r="219" spans="1:32" ht="25.5">
      <c r="A219" s="16" t="s">
        <v>146</v>
      </c>
      <c r="B219" s="16" t="s">
        <v>157</v>
      </c>
      <c r="C219" s="17" t="s">
        <v>140</v>
      </c>
      <c r="D219" s="18">
        <v>9</v>
      </c>
      <c r="E219" s="46">
        <v>6.7</v>
      </c>
      <c r="F219" s="17" t="s">
        <v>128</v>
      </c>
      <c r="G219" s="17" t="s">
        <v>127</v>
      </c>
      <c r="H219" s="18">
        <v>0</v>
      </c>
      <c r="I219" s="17"/>
      <c r="J219" s="18">
        <v>20.3</v>
      </c>
      <c r="K219" s="37">
        <v>7.57</v>
      </c>
      <c r="L219" s="18">
        <v>0</v>
      </c>
      <c r="M219" s="47">
        <f t="shared" si="111"/>
        <v>-0.8700000000000001</v>
      </c>
      <c r="N219" s="17" t="s">
        <v>109</v>
      </c>
      <c r="O219" s="131">
        <v>2304</v>
      </c>
      <c r="P219" s="18">
        <f t="shared" si="112"/>
        <v>0.24192</v>
      </c>
      <c r="Q219" s="18">
        <f t="shared" si="113"/>
        <v>0.193536</v>
      </c>
      <c r="R219" s="18">
        <f t="shared" si="114"/>
        <v>0.40199999999999997</v>
      </c>
      <c r="S219" s="18"/>
      <c r="T219" s="18">
        <f t="shared" si="115"/>
        <v>8.839920000000001</v>
      </c>
      <c r="U219" s="46">
        <f t="shared" si="116"/>
        <v>6.491536</v>
      </c>
      <c r="V219" s="50" t="s">
        <v>131</v>
      </c>
      <c r="W219" s="50" t="s">
        <v>144</v>
      </c>
      <c r="X219" s="50">
        <f t="shared" si="117"/>
        <v>6.491536</v>
      </c>
      <c r="Y219" s="50"/>
      <c r="Z219" s="18">
        <v>0</v>
      </c>
      <c r="AA219" s="18">
        <f t="shared" si="118"/>
        <v>7.57</v>
      </c>
      <c r="AB219" s="18">
        <f>SUM(T219)</f>
        <v>8.839920000000001</v>
      </c>
      <c r="AC219" s="37">
        <f>SUM(U219)*1+(0.71)</f>
        <v>7.201536</v>
      </c>
      <c r="AD219" s="62">
        <f t="shared" si="120"/>
        <v>-0.36846400000000035</v>
      </c>
      <c r="AE219" s="58">
        <f t="shared" si="121"/>
        <v>-0.25792480000000023</v>
      </c>
      <c r="AF219" s="17" t="s">
        <v>280</v>
      </c>
    </row>
    <row r="220" spans="1:32" ht="25.5">
      <c r="A220" s="16" t="s">
        <v>64</v>
      </c>
      <c r="B220" s="16" t="s">
        <v>157</v>
      </c>
      <c r="C220" s="17" t="s">
        <v>140</v>
      </c>
      <c r="D220" s="18">
        <v>33</v>
      </c>
      <c r="E220" s="46">
        <v>22.19</v>
      </c>
      <c r="F220" s="17" t="s">
        <v>131</v>
      </c>
      <c r="G220" s="17" t="s">
        <v>127</v>
      </c>
      <c r="H220" s="18">
        <v>22.19</v>
      </c>
      <c r="I220" s="17"/>
      <c r="J220" s="18">
        <v>20.74</v>
      </c>
      <c r="K220" s="37">
        <v>12.03</v>
      </c>
      <c r="L220" s="18">
        <f>SUM(D220)</f>
        <v>33</v>
      </c>
      <c r="M220" s="47">
        <f t="shared" si="111"/>
        <v>10.160000000000002</v>
      </c>
      <c r="N220" s="17" t="s">
        <v>351</v>
      </c>
      <c r="O220" s="131">
        <v>7376</v>
      </c>
      <c r="P220" s="18">
        <f t="shared" si="112"/>
        <v>0.77448</v>
      </c>
      <c r="Q220" s="18">
        <f t="shared" si="113"/>
        <v>0.619584</v>
      </c>
      <c r="R220" s="18">
        <f t="shared" si="114"/>
        <v>1.3314</v>
      </c>
      <c r="S220" s="18"/>
      <c r="T220" s="18">
        <f t="shared" si="115"/>
        <v>32.443079999999995</v>
      </c>
      <c r="U220" s="46">
        <f t="shared" si="116"/>
        <v>21.478184000000002</v>
      </c>
      <c r="V220" s="50" t="s">
        <v>131</v>
      </c>
      <c r="W220" s="50" t="s">
        <v>144</v>
      </c>
      <c r="X220" s="50">
        <f t="shared" si="117"/>
        <v>21.478184000000002</v>
      </c>
      <c r="Y220" s="50"/>
      <c r="Z220" s="18">
        <v>0</v>
      </c>
      <c r="AA220" s="18">
        <f t="shared" si="118"/>
        <v>12.03</v>
      </c>
      <c r="AB220" s="18">
        <f t="shared" si="122"/>
        <v>21.478184000000002</v>
      </c>
      <c r="AC220" s="37">
        <f>SUM(U220)*0.7</f>
        <v>15.0347288</v>
      </c>
      <c r="AD220" s="62">
        <f t="shared" si="120"/>
        <v>3.0047288000000005</v>
      </c>
      <c r="AE220" s="58">
        <f t="shared" si="121"/>
        <v>2.1033101600000004</v>
      </c>
      <c r="AF220" s="17" t="s">
        <v>381</v>
      </c>
    </row>
    <row r="221" spans="1:32" ht="25.5">
      <c r="A221" s="16" t="s">
        <v>65</v>
      </c>
      <c r="B221" s="16" t="s">
        <v>157</v>
      </c>
      <c r="C221" s="17" t="s">
        <v>140</v>
      </c>
      <c r="D221" s="18">
        <f>SUM(16+20+20+12.4)</f>
        <v>68.4</v>
      </c>
      <c r="E221" s="46">
        <v>35.08</v>
      </c>
      <c r="F221" s="17" t="s">
        <v>128</v>
      </c>
      <c r="G221" s="17" t="s">
        <v>127</v>
      </c>
      <c r="H221" s="18">
        <v>0</v>
      </c>
      <c r="I221" s="17"/>
      <c r="J221" s="18">
        <v>67.4</v>
      </c>
      <c r="K221" s="37">
        <v>14.5</v>
      </c>
      <c r="L221" s="18">
        <v>134</v>
      </c>
      <c r="M221" s="47">
        <f>SUM(39.52-K221)</f>
        <v>25.020000000000003</v>
      </c>
      <c r="N221" s="17" t="s">
        <v>117</v>
      </c>
      <c r="O221" s="131">
        <v>2377</v>
      </c>
      <c r="P221" s="18">
        <f t="shared" si="112"/>
        <v>0.249585</v>
      </c>
      <c r="Q221" s="18">
        <f t="shared" si="113"/>
        <v>0.199668</v>
      </c>
      <c r="R221" s="18">
        <f>SUM(E221*0.06)+0.09</f>
        <v>2.1948</v>
      </c>
      <c r="S221" s="18">
        <v>5</v>
      </c>
      <c r="T221" s="18">
        <f t="shared" si="115"/>
        <v>61.454785</v>
      </c>
      <c r="U221" s="46">
        <f t="shared" si="116"/>
        <v>28.084868</v>
      </c>
      <c r="V221" s="50" t="s">
        <v>128</v>
      </c>
      <c r="W221" s="50" t="s">
        <v>144</v>
      </c>
      <c r="X221" s="50">
        <v>0</v>
      </c>
      <c r="Y221" s="50"/>
      <c r="Z221" s="18"/>
      <c r="AA221" s="18">
        <f t="shared" si="118"/>
        <v>14.5</v>
      </c>
      <c r="AB221" s="18">
        <f t="shared" si="122"/>
        <v>28.084868</v>
      </c>
      <c r="AC221" s="37">
        <f>SUM(U221)*0.7</f>
        <v>19.659407599999998</v>
      </c>
      <c r="AD221" s="62">
        <f t="shared" si="120"/>
        <v>5.159407599999998</v>
      </c>
      <c r="AE221" s="58">
        <f t="shared" si="121"/>
        <v>3.6115853199999983</v>
      </c>
      <c r="AF221" s="17" t="s">
        <v>126</v>
      </c>
    </row>
    <row r="222" spans="1:32" ht="24">
      <c r="A222" s="16" t="s">
        <v>245</v>
      </c>
      <c r="B222" s="16" t="s">
        <v>157</v>
      </c>
      <c r="C222" s="17" t="s">
        <v>140</v>
      </c>
      <c r="D222" s="159" t="s">
        <v>26</v>
      </c>
      <c r="E222" s="160" t="s">
        <v>240</v>
      </c>
      <c r="F222" s="17" t="s">
        <v>128</v>
      </c>
      <c r="G222" s="17" t="s">
        <v>127</v>
      </c>
      <c r="H222" s="18">
        <v>0</v>
      </c>
      <c r="I222" s="17"/>
      <c r="J222" s="159" t="s">
        <v>26</v>
      </c>
      <c r="K222" s="161" t="s">
        <v>26</v>
      </c>
      <c r="L222" s="159" t="s">
        <v>26</v>
      </c>
      <c r="M222" s="162" t="s">
        <v>26</v>
      </c>
      <c r="N222" s="155" t="s">
        <v>26</v>
      </c>
      <c r="O222" s="163" t="s">
        <v>26</v>
      </c>
      <c r="P222" s="155" t="s">
        <v>26</v>
      </c>
      <c r="Q222" s="155" t="s">
        <v>26</v>
      </c>
      <c r="R222" s="155" t="s">
        <v>26</v>
      </c>
      <c r="S222" s="49"/>
      <c r="T222" s="155" t="s">
        <v>26</v>
      </c>
      <c r="U222" s="160" t="s">
        <v>26</v>
      </c>
      <c r="V222" s="50" t="s">
        <v>128</v>
      </c>
      <c r="W222" s="50" t="s">
        <v>144</v>
      </c>
      <c r="X222" s="50">
        <v>0</v>
      </c>
      <c r="Y222" s="50"/>
      <c r="Z222" s="159"/>
      <c r="AA222" s="159" t="s">
        <v>147</v>
      </c>
      <c r="AB222" s="159" t="s">
        <v>147</v>
      </c>
      <c r="AC222" s="161" t="s">
        <v>147</v>
      </c>
      <c r="AD222" s="116" t="s">
        <v>147</v>
      </c>
      <c r="AE222" s="164" t="s">
        <v>147</v>
      </c>
      <c r="AF222" s="17" t="s">
        <v>126</v>
      </c>
    </row>
    <row r="223" spans="1:32" ht="24">
      <c r="A223" s="16" t="s">
        <v>246</v>
      </c>
      <c r="B223" s="16" t="s">
        <v>157</v>
      </c>
      <c r="C223" s="17" t="s">
        <v>140</v>
      </c>
      <c r="D223" s="159" t="s">
        <v>26</v>
      </c>
      <c r="E223" s="160" t="s">
        <v>240</v>
      </c>
      <c r="F223" s="17" t="s">
        <v>128</v>
      </c>
      <c r="G223" s="17" t="s">
        <v>127</v>
      </c>
      <c r="H223" s="18">
        <v>0</v>
      </c>
      <c r="I223" s="17"/>
      <c r="J223" s="159" t="s">
        <v>26</v>
      </c>
      <c r="K223" s="161" t="s">
        <v>26</v>
      </c>
      <c r="L223" s="159" t="s">
        <v>26</v>
      </c>
      <c r="M223" s="162" t="s">
        <v>26</v>
      </c>
      <c r="N223" s="155" t="s">
        <v>26</v>
      </c>
      <c r="O223" s="163" t="s">
        <v>26</v>
      </c>
      <c r="P223" s="155" t="s">
        <v>26</v>
      </c>
      <c r="Q223" s="155" t="s">
        <v>26</v>
      </c>
      <c r="R223" s="155" t="s">
        <v>26</v>
      </c>
      <c r="S223" s="49"/>
      <c r="T223" s="155" t="s">
        <v>26</v>
      </c>
      <c r="U223" s="160" t="s">
        <v>26</v>
      </c>
      <c r="V223" s="50" t="s">
        <v>128</v>
      </c>
      <c r="W223" s="50" t="s">
        <v>144</v>
      </c>
      <c r="X223" s="50">
        <v>0</v>
      </c>
      <c r="Y223" s="50"/>
      <c r="Z223" s="159"/>
      <c r="AA223" s="159" t="s">
        <v>147</v>
      </c>
      <c r="AB223" s="159" t="s">
        <v>147</v>
      </c>
      <c r="AC223" s="161" t="s">
        <v>147</v>
      </c>
      <c r="AD223" s="116" t="s">
        <v>147</v>
      </c>
      <c r="AE223" s="164" t="s">
        <v>147</v>
      </c>
      <c r="AF223" s="17" t="s">
        <v>126</v>
      </c>
    </row>
    <row r="224" spans="1:32" ht="24">
      <c r="A224" s="16" t="s">
        <v>66</v>
      </c>
      <c r="B224" s="16" t="s">
        <v>157</v>
      </c>
      <c r="C224" s="17" t="s">
        <v>140</v>
      </c>
      <c r="D224" s="159" t="s">
        <v>26</v>
      </c>
      <c r="E224" s="160" t="s">
        <v>240</v>
      </c>
      <c r="F224" s="17" t="s">
        <v>128</v>
      </c>
      <c r="G224" s="17" t="s">
        <v>127</v>
      </c>
      <c r="H224" s="18">
        <v>0</v>
      </c>
      <c r="I224" s="17"/>
      <c r="J224" s="159" t="s">
        <v>26</v>
      </c>
      <c r="K224" s="161" t="s">
        <v>26</v>
      </c>
      <c r="L224" s="159" t="s">
        <v>26</v>
      </c>
      <c r="M224" s="162" t="s">
        <v>26</v>
      </c>
      <c r="N224" s="155" t="s">
        <v>26</v>
      </c>
      <c r="O224" s="163" t="s">
        <v>26</v>
      </c>
      <c r="P224" s="155" t="s">
        <v>26</v>
      </c>
      <c r="Q224" s="155" t="s">
        <v>26</v>
      </c>
      <c r="R224" s="155" t="s">
        <v>26</v>
      </c>
      <c r="S224" s="49"/>
      <c r="T224" s="155" t="s">
        <v>26</v>
      </c>
      <c r="U224" s="160" t="s">
        <v>26</v>
      </c>
      <c r="V224" s="50" t="s">
        <v>128</v>
      </c>
      <c r="W224" s="50" t="s">
        <v>144</v>
      </c>
      <c r="X224" s="50">
        <v>0</v>
      </c>
      <c r="Y224" s="50"/>
      <c r="Z224" s="159"/>
      <c r="AA224" s="159" t="s">
        <v>147</v>
      </c>
      <c r="AB224" s="159" t="s">
        <v>147</v>
      </c>
      <c r="AC224" s="161" t="s">
        <v>147</v>
      </c>
      <c r="AD224" s="116" t="s">
        <v>147</v>
      </c>
      <c r="AE224" s="164" t="s">
        <v>147</v>
      </c>
      <c r="AF224" s="17" t="s">
        <v>126</v>
      </c>
    </row>
    <row r="225" spans="1:32" ht="25.5">
      <c r="A225" s="16" t="s">
        <v>67</v>
      </c>
      <c r="B225" s="16" t="s">
        <v>157</v>
      </c>
      <c r="C225" s="17" t="s">
        <v>140</v>
      </c>
      <c r="D225" s="18">
        <v>4</v>
      </c>
      <c r="E225" s="46">
        <v>1.94</v>
      </c>
      <c r="F225" s="17" t="s">
        <v>131</v>
      </c>
      <c r="G225" s="17" t="s">
        <v>127</v>
      </c>
      <c r="H225" s="18">
        <v>1.94</v>
      </c>
      <c r="I225" s="17"/>
      <c r="J225" s="18">
        <v>1.08</v>
      </c>
      <c r="K225" s="37">
        <v>1.08</v>
      </c>
      <c r="L225" s="18">
        <v>4</v>
      </c>
      <c r="M225" s="47">
        <f>SUM(E225-K225)</f>
        <v>0.8599999999999999</v>
      </c>
      <c r="N225" s="17" t="s">
        <v>118</v>
      </c>
      <c r="O225" s="131">
        <v>803</v>
      </c>
      <c r="P225" s="18">
        <f t="shared" si="112"/>
        <v>0.084315</v>
      </c>
      <c r="Q225" s="18">
        <f t="shared" si="113"/>
        <v>0.067452</v>
      </c>
      <c r="R225" s="18">
        <f>SUM(E225*0.06)</f>
        <v>0.11639999999999999</v>
      </c>
      <c r="S225" s="18">
        <v>0</v>
      </c>
      <c r="T225" s="18">
        <f>SUM(D225+P225)-(R225+S225)</f>
        <v>3.967915</v>
      </c>
      <c r="U225" s="46">
        <f>SUM(E225+Q225)-(R225+S225)</f>
        <v>1.8910519999999997</v>
      </c>
      <c r="V225" s="50" t="s">
        <v>131</v>
      </c>
      <c r="W225" s="50" t="s">
        <v>144</v>
      </c>
      <c r="X225" s="50">
        <f>SUM(U225)</f>
        <v>1.8910519999999997</v>
      </c>
      <c r="Y225" s="50"/>
      <c r="Z225" s="18"/>
      <c r="AA225" s="18">
        <f>K225+Z225</f>
        <v>1.08</v>
      </c>
      <c r="AB225" s="18">
        <f t="shared" si="122"/>
        <v>1.8910519999999997</v>
      </c>
      <c r="AC225" s="37">
        <f>SUM(U225*0.7)</f>
        <v>1.3237363999999998</v>
      </c>
      <c r="AD225" s="62">
        <f>SUM(AC225-K225)</f>
        <v>0.24373639999999974</v>
      </c>
      <c r="AE225" s="58">
        <f>SUM(AD225*0.7)</f>
        <v>0.17061547999999982</v>
      </c>
      <c r="AF225" s="17" t="s">
        <v>382</v>
      </c>
    </row>
    <row r="226" spans="1:32" ht="15">
      <c r="A226" s="14" t="s">
        <v>68</v>
      </c>
      <c r="B226" s="14"/>
      <c r="C226" s="15"/>
      <c r="D226" s="51"/>
      <c r="E226" s="51"/>
      <c r="F226" s="15"/>
      <c r="G226" s="15"/>
      <c r="H226" s="51"/>
      <c r="I226" s="15"/>
      <c r="J226" s="51"/>
      <c r="K226" s="51"/>
      <c r="L226" s="51"/>
      <c r="M226" s="51"/>
      <c r="N226" s="15"/>
      <c r="O226" s="67"/>
      <c r="P226" s="15"/>
      <c r="Q226" s="15"/>
      <c r="R226" s="15"/>
      <c r="S226" s="15"/>
      <c r="T226" s="15"/>
      <c r="U226" s="15"/>
      <c r="V226" s="15"/>
      <c r="W226" s="15"/>
      <c r="X226" s="15"/>
      <c r="Y226" s="15"/>
      <c r="Z226" s="15"/>
      <c r="AA226" s="52"/>
      <c r="AB226" s="15"/>
      <c r="AC226" s="15"/>
      <c r="AD226" s="15"/>
      <c r="AE226" s="15"/>
      <c r="AF226" s="15"/>
    </row>
    <row r="227" spans="1:32" ht="15">
      <c r="A227" s="16" t="s">
        <v>13</v>
      </c>
      <c r="B227" s="16"/>
      <c r="C227" s="17">
        <v>15</v>
      </c>
      <c r="D227" s="18">
        <f>SUM(D211:D225)</f>
        <v>170.65</v>
      </c>
      <c r="E227" s="46">
        <f>SUM(E211:E225)</f>
        <v>99.11</v>
      </c>
      <c r="F227" s="17"/>
      <c r="G227" s="17"/>
      <c r="H227" s="18">
        <f>SUM(H211:H225)</f>
        <v>56.94</v>
      </c>
      <c r="I227" s="17"/>
      <c r="J227" s="18">
        <f>SUM(J211:J225)</f>
        <v>143.80000000000004</v>
      </c>
      <c r="K227" s="37">
        <f>SUM(K211:K225)</f>
        <v>46.35</v>
      </c>
      <c r="L227" s="18">
        <f>SUM(L211:L225)</f>
        <v>227.25</v>
      </c>
      <c r="M227" s="47">
        <f>SUM(M211:M225)</f>
        <v>57.2</v>
      </c>
      <c r="N227" s="17"/>
      <c r="O227" s="131">
        <f aca="true" t="shared" si="123" ref="O227:U227">SUM(O211:O225)</f>
        <v>15811</v>
      </c>
      <c r="P227" s="18">
        <f t="shared" si="123"/>
        <v>1.6601549999999998</v>
      </c>
      <c r="Q227" s="18">
        <f t="shared" si="123"/>
        <v>1.328124</v>
      </c>
      <c r="R227" s="18">
        <f t="shared" si="123"/>
        <v>6.0366</v>
      </c>
      <c r="S227" s="18">
        <f t="shared" si="123"/>
        <v>5</v>
      </c>
      <c r="T227" s="18">
        <f t="shared" si="123"/>
        <v>161.273555</v>
      </c>
      <c r="U227" s="46">
        <f t="shared" si="123"/>
        <v>89.401524</v>
      </c>
      <c r="V227" s="43"/>
      <c r="W227" s="43"/>
      <c r="X227" s="18">
        <f>SUM(X211:X225)</f>
        <v>60.950056000000004</v>
      </c>
      <c r="Y227" s="43"/>
      <c r="Z227" s="18">
        <f>SUM(Z211:Z225)</f>
        <v>1.56</v>
      </c>
      <c r="AA227" s="18">
        <f>SUM(AA211:AA225)</f>
        <v>47.910000000000004</v>
      </c>
      <c r="AB227" s="18">
        <f>SUM(AB211:AB225)</f>
        <v>91.749908</v>
      </c>
      <c r="AC227" s="37">
        <f>SUM(AC211:AC226)</f>
        <v>65.2385276</v>
      </c>
      <c r="AD227" s="62">
        <f>SUM(AD211:AD226)</f>
        <v>18.8885276</v>
      </c>
      <c r="AE227" s="58">
        <f>SUM(AE211:AE226)</f>
        <v>13.221969319999996</v>
      </c>
      <c r="AF227" s="20"/>
    </row>
    <row r="228" spans="1:32" ht="15.75" thickBot="1">
      <c r="A228" s="22" t="s">
        <v>14</v>
      </c>
      <c r="B228" s="22"/>
      <c r="C228" s="23">
        <v>0</v>
      </c>
      <c r="D228" s="24">
        <v>0</v>
      </c>
      <c r="E228" s="132">
        <v>0</v>
      </c>
      <c r="F228" s="23"/>
      <c r="G228" s="23"/>
      <c r="H228" s="24">
        <v>0</v>
      </c>
      <c r="I228" s="23"/>
      <c r="J228" s="24">
        <v>0</v>
      </c>
      <c r="K228" s="133">
        <v>0</v>
      </c>
      <c r="L228" s="24">
        <v>0</v>
      </c>
      <c r="M228" s="167">
        <v>0</v>
      </c>
      <c r="N228" s="23"/>
      <c r="O228" s="69">
        <v>0</v>
      </c>
      <c r="P228" s="23">
        <v>0</v>
      </c>
      <c r="Q228" s="23">
        <v>0</v>
      </c>
      <c r="R228" s="24">
        <v>0</v>
      </c>
      <c r="S228" s="24">
        <v>0</v>
      </c>
      <c r="T228" s="24">
        <v>0</v>
      </c>
      <c r="U228" s="132">
        <v>0</v>
      </c>
      <c r="V228" s="45"/>
      <c r="W228" s="45"/>
      <c r="X228" s="24">
        <v>0</v>
      </c>
      <c r="Y228" s="45"/>
      <c r="Z228" s="24">
        <v>0</v>
      </c>
      <c r="AA228" s="18">
        <f>K228+Z228</f>
        <v>0</v>
      </c>
      <c r="AB228" s="24">
        <v>0</v>
      </c>
      <c r="AC228" s="133">
        <v>0</v>
      </c>
      <c r="AD228" s="117">
        <v>0</v>
      </c>
      <c r="AE228" s="59">
        <v>0</v>
      </c>
      <c r="AF228" s="25"/>
    </row>
    <row r="229" spans="1:32" ht="15.75" thickBot="1">
      <c r="A229" s="26" t="s">
        <v>55</v>
      </c>
      <c r="B229" s="65"/>
      <c r="C229" s="98">
        <f>SUM(C227:C228)</f>
        <v>15</v>
      </c>
      <c r="D229" s="28">
        <f>SUM(D227:D228)</f>
        <v>170.65</v>
      </c>
      <c r="E229" s="134">
        <f>SUM(E227:E228)</f>
        <v>99.11</v>
      </c>
      <c r="F229" s="30"/>
      <c r="G229" s="30"/>
      <c r="H229" s="28">
        <f>SUM(H227:H228)</f>
        <v>56.94</v>
      </c>
      <c r="I229" s="135">
        <f>(H229/E229)</f>
        <v>0.574513167187973</v>
      </c>
      <c r="J229" s="33">
        <f>SUM(J227:J228)</f>
        <v>143.80000000000004</v>
      </c>
      <c r="K229" s="136">
        <f>SUM(K227:K228)</f>
        <v>46.35</v>
      </c>
      <c r="L229" s="33">
        <f>SUM(L227:L228)</f>
        <v>227.25</v>
      </c>
      <c r="M229" s="48">
        <f>SUM(M227:M228)</f>
        <v>57.2</v>
      </c>
      <c r="N229" s="30"/>
      <c r="O229" s="168">
        <f aca="true" t="shared" si="124" ref="O229:U229">SUM(O227:O228)</f>
        <v>15811</v>
      </c>
      <c r="P229" s="33">
        <f t="shared" si="124"/>
        <v>1.6601549999999998</v>
      </c>
      <c r="Q229" s="33">
        <f t="shared" si="124"/>
        <v>1.328124</v>
      </c>
      <c r="R229" s="33">
        <f t="shared" si="124"/>
        <v>6.0366</v>
      </c>
      <c r="S229" s="33">
        <f t="shared" si="124"/>
        <v>5</v>
      </c>
      <c r="T229" s="33">
        <f t="shared" si="124"/>
        <v>161.273555</v>
      </c>
      <c r="U229" s="134">
        <f t="shared" si="124"/>
        <v>89.401524</v>
      </c>
      <c r="V229" s="33"/>
      <c r="W229" s="33"/>
      <c r="X229" s="33">
        <f>SUM(X227:X228)</f>
        <v>60.950056000000004</v>
      </c>
      <c r="Y229" s="135">
        <f>SUM(X229/U229)</f>
        <v>0.6817563423191757</v>
      </c>
      <c r="Z229" s="33">
        <f aca="true" t="shared" si="125" ref="Z229:AE229">SUM(Z227:Z228)</f>
        <v>1.56</v>
      </c>
      <c r="AA229" s="33">
        <f t="shared" si="125"/>
        <v>47.910000000000004</v>
      </c>
      <c r="AB229" s="33">
        <f t="shared" si="125"/>
        <v>91.749908</v>
      </c>
      <c r="AC229" s="136">
        <f t="shared" si="125"/>
        <v>65.2385276</v>
      </c>
      <c r="AD229" s="118">
        <f t="shared" si="125"/>
        <v>18.8885276</v>
      </c>
      <c r="AE229" s="60">
        <f t="shared" si="125"/>
        <v>13.221969319999996</v>
      </c>
      <c r="AF229" s="31"/>
    </row>
    <row r="230" spans="1:32" ht="14.25">
      <c r="A230" s="77" t="s">
        <v>182</v>
      </c>
      <c r="B230" s="77"/>
      <c r="C230" s="76"/>
      <c r="D230" s="75"/>
      <c r="E230" s="75"/>
      <c r="F230" s="76"/>
      <c r="G230" s="76"/>
      <c r="H230" s="76"/>
      <c r="I230" s="76"/>
      <c r="J230" s="75"/>
      <c r="K230" s="76"/>
      <c r="L230" s="75"/>
      <c r="M230" s="76"/>
      <c r="N230" s="76"/>
      <c r="O230" s="73">
        <v>15895</v>
      </c>
      <c r="P230" s="75"/>
      <c r="Q230" s="75"/>
      <c r="R230" s="75"/>
      <c r="S230" s="75"/>
      <c r="T230" s="75"/>
      <c r="U230" s="75"/>
      <c r="V230" s="75"/>
      <c r="W230" s="75"/>
      <c r="X230" s="75"/>
      <c r="Y230" s="75"/>
      <c r="Z230" s="75"/>
      <c r="AA230" s="75"/>
      <c r="AB230" s="75"/>
      <c r="AC230" s="75"/>
      <c r="AD230" s="75"/>
      <c r="AE230" s="75"/>
      <c r="AF230" s="5" t="s">
        <v>265</v>
      </c>
    </row>
    <row r="231" spans="1:32" ht="12.75">
      <c r="A231" s="77" t="s">
        <v>173</v>
      </c>
      <c r="B231" s="77"/>
      <c r="C231" s="76"/>
      <c r="D231" s="75"/>
      <c r="E231" s="75"/>
      <c r="F231" s="76"/>
      <c r="G231" s="76"/>
      <c r="H231" s="76"/>
      <c r="I231" s="76"/>
      <c r="J231" s="75"/>
      <c r="K231" s="76"/>
      <c r="L231" s="75"/>
      <c r="M231" s="76"/>
      <c r="N231" s="76"/>
      <c r="O231" s="74">
        <f>SUM(O229/O230)</f>
        <v>0.9947153192827933</v>
      </c>
      <c r="P231" s="75"/>
      <c r="Q231" s="75"/>
      <c r="R231" s="75"/>
      <c r="S231" s="75"/>
      <c r="T231" s="75"/>
      <c r="U231" s="75"/>
      <c r="V231" s="75"/>
      <c r="W231" s="75"/>
      <c r="X231" s="75"/>
      <c r="Y231" s="75"/>
      <c r="Z231" s="75"/>
      <c r="AA231" s="75"/>
      <c r="AB231" s="75"/>
      <c r="AC231" s="75"/>
      <c r="AD231" s="75"/>
      <c r="AE231" s="75"/>
      <c r="AF231" s="5"/>
    </row>
    <row r="232" spans="1:32" ht="15">
      <c r="A232" s="35"/>
      <c r="B232" s="35"/>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row>
    <row r="233" spans="1:32" ht="15" customHeight="1">
      <c r="A233" s="206"/>
      <c r="B233" s="64"/>
      <c r="C233" s="10"/>
      <c r="D233" s="198" t="s">
        <v>285</v>
      </c>
      <c r="E233" s="198"/>
      <c r="F233" s="199" t="s">
        <v>286</v>
      </c>
      <c r="G233" s="199"/>
      <c r="H233" s="113" t="s">
        <v>131</v>
      </c>
      <c r="I233" s="109">
        <v>2010</v>
      </c>
      <c r="J233" s="208" t="s">
        <v>287</v>
      </c>
      <c r="K233" s="208"/>
      <c r="L233" s="209" t="s">
        <v>288</v>
      </c>
      <c r="M233" s="209"/>
      <c r="N233" s="10">
        <v>2010</v>
      </c>
      <c r="O233" s="68" t="s">
        <v>289</v>
      </c>
      <c r="P233" s="199" t="s">
        <v>290</v>
      </c>
      <c r="Q233" s="199"/>
      <c r="R233" s="199" t="s">
        <v>291</v>
      </c>
      <c r="S233" s="199"/>
      <c r="T233" s="198" t="s">
        <v>292</v>
      </c>
      <c r="U233" s="198"/>
      <c r="V233" s="199" t="s">
        <v>293</v>
      </c>
      <c r="W233" s="199"/>
      <c r="X233" s="114" t="s">
        <v>298</v>
      </c>
      <c r="Y233" s="114" t="s">
        <v>299</v>
      </c>
      <c r="Z233" s="200" t="s">
        <v>294</v>
      </c>
      <c r="AA233" s="40">
        <v>2020</v>
      </c>
      <c r="AB233" s="207" t="s">
        <v>295</v>
      </c>
      <c r="AC233" s="208"/>
      <c r="AD233" s="61" t="s">
        <v>296</v>
      </c>
      <c r="AE233" s="57" t="s">
        <v>296</v>
      </c>
      <c r="AF233" s="10"/>
    </row>
    <row r="234" spans="1:32" ht="12.75">
      <c r="A234" s="206"/>
      <c r="B234" s="66" t="s">
        <v>153</v>
      </c>
      <c r="C234" s="10" t="s">
        <v>0</v>
      </c>
      <c r="D234" s="198"/>
      <c r="E234" s="198"/>
      <c r="F234" s="199"/>
      <c r="G234" s="199"/>
      <c r="H234" s="113"/>
      <c r="I234" s="109" t="s">
        <v>131</v>
      </c>
      <c r="J234" s="208"/>
      <c r="K234" s="208"/>
      <c r="L234" s="209"/>
      <c r="M234" s="209"/>
      <c r="N234" s="10" t="s">
        <v>2</v>
      </c>
      <c r="O234" s="68" t="s">
        <v>161</v>
      </c>
      <c r="P234" s="199"/>
      <c r="Q234" s="199"/>
      <c r="R234" s="199"/>
      <c r="S234" s="199"/>
      <c r="T234" s="198"/>
      <c r="U234" s="198"/>
      <c r="V234" s="199"/>
      <c r="W234" s="199"/>
      <c r="X234" s="114" t="s">
        <v>131</v>
      </c>
      <c r="Y234" s="114"/>
      <c r="Z234" s="201"/>
      <c r="AA234" s="41" t="s">
        <v>145</v>
      </c>
      <c r="AB234" s="207"/>
      <c r="AC234" s="208"/>
      <c r="AD234" s="61" t="s">
        <v>145</v>
      </c>
      <c r="AE234" s="57" t="s">
        <v>297</v>
      </c>
      <c r="AF234" s="10" t="s">
        <v>3</v>
      </c>
    </row>
    <row r="235" spans="1:32" ht="14.25">
      <c r="A235" s="206"/>
      <c r="B235" s="66" t="s">
        <v>151</v>
      </c>
      <c r="C235" s="10" t="s">
        <v>1</v>
      </c>
      <c r="D235" s="198"/>
      <c r="E235" s="198"/>
      <c r="F235" s="199"/>
      <c r="G235" s="199"/>
      <c r="H235" s="113"/>
      <c r="I235" s="109"/>
      <c r="J235" s="208"/>
      <c r="K235" s="208"/>
      <c r="L235" s="209"/>
      <c r="M235" s="209"/>
      <c r="N235" s="10" t="s">
        <v>97</v>
      </c>
      <c r="O235" s="68" t="s">
        <v>270</v>
      </c>
      <c r="P235" s="199"/>
      <c r="Q235" s="199"/>
      <c r="R235" s="199"/>
      <c r="S235" s="199"/>
      <c r="T235" s="198"/>
      <c r="U235" s="198"/>
      <c r="V235" s="199"/>
      <c r="W235" s="199"/>
      <c r="X235" s="109"/>
      <c r="Y235" s="109"/>
      <c r="Z235" s="202"/>
      <c r="AA235" s="39" t="s">
        <v>143</v>
      </c>
      <c r="AB235" s="208"/>
      <c r="AC235" s="208"/>
      <c r="AD235" s="61"/>
      <c r="AE235" s="57"/>
      <c r="AF235" s="125"/>
    </row>
    <row r="236" spans="1:32" ht="52.5">
      <c r="A236" s="78" t="s">
        <v>213</v>
      </c>
      <c r="B236" s="10" t="s">
        <v>154</v>
      </c>
      <c r="C236" s="10" t="s">
        <v>302</v>
      </c>
      <c r="D236" s="10" t="s">
        <v>5</v>
      </c>
      <c r="E236" s="101" t="s">
        <v>7</v>
      </c>
      <c r="F236" s="10"/>
      <c r="G236" s="10"/>
      <c r="H236" s="113" t="s">
        <v>7</v>
      </c>
      <c r="I236" s="109"/>
      <c r="J236" s="10" t="s">
        <v>5</v>
      </c>
      <c r="K236" s="106" t="s">
        <v>277</v>
      </c>
      <c r="L236" s="10" t="s">
        <v>5</v>
      </c>
      <c r="M236" s="102" t="s">
        <v>7</v>
      </c>
      <c r="N236" s="10"/>
      <c r="O236" s="91"/>
      <c r="P236" s="10" t="s">
        <v>5</v>
      </c>
      <c r="Q236" s="10" t="s">
        <v>7</v>
      </c>
      <c r="R236" s="10" t="s">
        <v>272</v>
      </c>
      <c r="S236" s="10" t="s">
        <v>273</v>
      </c>
      <c r="T236" s="10" t="s">
        <v>5</v>
      </c>
      <c r="U236" s="101" t="s">
        <v>7</v>
      </c>
      <c r="V236" s="10" t="s">
        <v>95</v>
      </c>
      <c r="W236" s="10" t="s">
        <v>96</v>
      </c>
      <c r="X236" s="109"/>
      <c r="Y236" s="109"/>
      <c r="Z236" s="10"/>
      <c r="AA236" s="10"/>
      <c r="AB236" s="10" t="s">
        <v>5</v>
      </c>
      <c r="AC236" s="99" t="s">
        <v>340</v>
      </c>
      <c r="AD236" s="92" t="s">
        <v>340</v>
      </c>
      <c r="AE236" s="93" t="s">
        <v>341</v>
      </c>
      <c r="AF236" s="125"/>
    </row>
    <row r="237" spans="1:32" ht="12.75">
      <c r="A237" s="10"/>
      <c r="B237" s="10"/>
      <c r="C237" s="125"/>
      <c r="D237" s="10" t="s">
        <v>6</v>
      </c>
      <c r="E237" s="101" t="s">
        <v>6</v>
      </c>
      <c r="F237" s="10"/>
      <c r="G237" s="10"/>
      <c r="H237" s="113" t="s">
        <v>6</v>
      </c>
      <c r="I237" s="109" t="s">
        <v>300</v>
      </c>
      <c r="J237" s="10" t="s">
        <v>6</v>
      </c>
      <c r="K237" s="99" t="s">
        <v>6</v>
      </c>
      <c r="L237" s="10" t="s">
        <v>6</v>
      </c>
      <c r="M237" s="102" t="s">
        <v>6</v>
      </c>
      <c r="N237" s="125"/>
      <c r="O237" s="142"/>
      <c r="P237" s="10" t="s">
        <v>6</v>
      </c>
      <c r="Q237" s="10" t="s">
        <v>6</v>
      </c>
      <c r="R237" s="10" t="s">
        <v>6</v>
      </c>
      <c r="S237" s="10" t="s">
        <v>6</v>
      </c>
      <c r="T237" s="10" t="s">
        <v>6</v>
      </c>
      <c r="U237" s="101" t="s">
        <v>6</v>
      </c>
      <c r="V237" s="10"/>
      <c r="W237" s="10"/>
      <c r="X237" s="109" t="s">
        <v>6</v>
      </c>
      <c r="Y237" s="109" t="s">
        <v>300</v>
      </c>
      <c r="Z237" s="10" t="s">
        <v>6</v>
      </c>
      <c r="AA237" s="10" t="s">
        <v>6</v>
      </c>
      <c r="AB237" s="10" t="s">
        <v>6</v>
      </c>
      <c r="AC237" s="99" t="s">
        <v>6</v>
      </c>
      <c r="AD237" s="92" t="s">
        <v>6</v>
      </c>
      <c r="AE237" s="93" t="s">
        <v>6</v>
      </c>
      <c r="AF237" s="125"/>
    </row>
    <row r="238" spans="1:32" ht="12.75">
      <c r="A238" s="79" t="s">
        <v>13</v>
      </c>
      <c r="B238" s="16" t="s">
        <v>157</v>
      </c>
      <c r="C238" s="10">
        <f>SUM(C164,C195,C227)</f>
        <v>46</v>
      </c>
      <c r="D238" s="38">
        <f>SUM(D164,D195,D227)</f>
        <v>375.46000000000004</v>
      </c>
      <c r="E238" s="148">
        <f>SUM(E164,E195,E227)</f>
        <v>225.64</v>
      </c>
      <c r="F238" s="40"/>
      <c r="G238" s="40"/>
      <c r="H238" s="38">
        <f>SUM(H164,H195,H227)</f>
        <v>155.03</v>
      </c>
      <c r="I238" s="10"/>
      <c r="J238" s="10">
        <f>SUM(J164,J195,J227)</f>
        <v>220.21000000000004</v>
      </c>
      <c r="K238" s="89">
        <f>SUM(K164,K195,K227)</f>
        <v>91.35999999999999</v>
      </c>
      <c r="L238" s="10">
        <f>SUM(L164,L195,L227)</f>
        <v>405.24</v>
      </c>
      <c r="M238" s="82">
        <f>SUM(M164,M195,M227)</f>
        <v>138.63</v>
      </c>
      <c r="N238" s="40"/>
      <c r="O238" s="147">
        <f aca="true" t="shared" si="126" ref="O238:U238">SUM(O164,O195,O227)</f>
        <v>557551</v>
      </c>
      <c r="P238" s="38">
        <f t="shared" si="126"/>
        <v>58.542855</v>
      </c>
      <c r="Q238" s="38">
        <f t="shared" si="126"/>
        <v>46.834284000000004</v>
      </c>
      <c r="R238" s="38">
        <f t="shared" si="126"/>
        <v>13.7584</v>
      </c>
      <c r="S238" s="38">
        <f t="shared" si="126"/>
        <v>11</v>
      </c>
      <c r="T238" s="38">
        <f t="shared" si="126"/>
        <v>409.244455</v>
      </c>
      <c r="U238" s="148">
        <f t="shared" si="126"/>
        <v>247.715884</v>
      </c>
      <c r="V238" s="40"/>
      <c r="W238" s="40"/>
      <c r="X238" s="38">
        <f>SUM(X164,X195,X227)</f>
        <v>209.820984</v>
      </c>
      <c r="Y238" s="40"/>
      <c r="Z238" s="38">
        <f aca="true" t="shared" si="127" ref="Z238:AE239">SUM(Z164,Z195,Z227)</f>
        <v>11.65</v>
      </c>
      <c r="AA238" s="38">
        <f t="shared" si="127"/>
        <v>99.87</v>
      </c>
      <c r="AB238" s="38">
        <f t="shared" si="127"/>
        <v>250.064268</v>
      </c>
      <c r="AC238" s="89">
        <f t="shared" si="127"/>
        <v>176.05857959999997</v>
      </c>
      <c r="AD238" s="119">
        <f t="shared" si="127"/>
        <v>84.69857959999999</v>
      </c>
      <c r="AE238" s="146">
        <f t="shared" si="127"/>
        <v>59.740337539999985</v>
      </c>
      <c r="AF238" s="40"/>
    </row>
    <row r="239" spans="1:32" ht="16.5" thickBot="1">
      <c r="A239" s="80" t="s">
        <v>14</v>
      </c>
      <c r="B239" s="22" t="s">
        <v>157</v>
      </c>
      <c r="C239" s="10">
        <f>SUM(C165,C196,C228)</f>
        <v>0</v>
      </c>
      <c r="D239" s="85">
        <v>0</v>
      </c>
      <c r="E239" s="148">
        <v>0</v>
      </c>
      <c r="F239" s="40"/>
      <c r="G239" s="40"/>
      <c r="H239" s="85">
        <v>0</v>
      </c>
      <c r="I239" s="40"/>
      <c r="J239" s="85">
        <v>0</v>
      </c>
      <c r="K239" s="89">
        <v>0</v>
      </c>
      <c r="L239" s="85">
        <v>0</v>
      </c>
      <c r="M239" s="86">
        <v>0</v>
      </c>
      <c r="N239" s="40"/>
      <c r="O239" s="147">
        <v>0</v>
      </c>
      <c r="P239" s="38">
        <f>SUM(P165,P196,P228)</f>
        <v>0</v>
      </c>
      <c r="Q239" s="38">
        <f>SUM(Q165,Q196,Q228)</f>
        <v>0</v>
      </c>
      <c r="R239" s="38">
        <f>SUM(R165,R196,R228)</f>
        <v>0</v>
      </c>
      <c r="S239" s="38">
        <f>SUM(S165,S196,S228)</f>
        <v>0</v>
      </c>
      <c r="T239" s="38">
        <f>SUM(T165,T196,T228)</f>
        <v>0</v>
      </c>
      <c r="U239" s="148">
        <v>0</v>
      </c>
      <c r="V239" s="40"/>
      <c r="W239" s="40"/>
      <c r="X239" s="38">
        <f>SUM(X165,X196,X228)</f>
        <v>0</v>
      </c>
      <c r="Y239" s="40"/>
      <c r="Z239" s="38">
        <f t="shared" si="127"/>
        <v>0</v>
      </c>
      <c r="AA239" s="38">
        <f t="shared" si="127"/>
        <v>0</v>
      </c>
      <c r="AB239" s="38">
        <f t="shared" si="127"/>
        <v>0</v>
      </c>
      <c r="AC239" s="89">
        <f t="shared" si="127"/>
        <v>0</v>
      </c>
      <c r="AD239" s="119">
        <f t="shared" si="127"/>
        <v>0</v>
      </c>
      <c r="AE239" s="146">
        <f t="shared" si="127"/>
        <v>0</v>
      </c>
      <c r="AF239" s="81"/>
    </row>
    <row r="240" spans="1:32" ht="13.5" thickBot="1">
      <c r="A240" s="26" t="s">
        <v>210</v>
      </c>
      <c r="B240" s="65"/>
      <c r="C240" s="98">
        <f>SUM(C238:C239)</f>
        <v>46</v>
      </c>
      <c r="D240" s="28">
        <f>SUM(D238:D239)</f>
        <v>375.46000000000004</v>
      </c>
      <c r="E240" s="152">
        <f>SUM(E238:E239)</f>
        <v>225.64</v>
      </c>
      <c r="F240" s="27"/>
      <c r="G240" s="27"/>
      <c r="H240" s="28">
        <f>SUM(H238:H239)</f>
        <v>155.03</v>
      </c>
      <c r="I240" s="135">
        <f>(H240/E240)</f>
        <v>0.6870678957631626</v>
      </c>
      <c r="J240" s="28">
        <f>SUM(J238:J239)</f>
        <v>220.21000000000004</v>
      </c>
      <c r="K240" s="90">
        <f>SUM(K238:K239)</f>
        <v>91.35999999999999</v>
      </c>
      <c r="L240" s="28">
        <f>SUM(L238:L239)</f>
        <v>405.24</v>
      </c>
      <c r="M240" s="87">
        <f>SUM(M238,M239)</f>
        <v>138.63</v>
      </c>
      <c r="N240" s="27"/>
      <c r="O240" s="151">
        <f>SUM(O238,O239)</f>
        <v>557551</v>
      </c>
      <c r="P240" s="28">
        <f aca="true" t="shared" si="128" ref="P240:U240">SUM(P238:P239)</f>
        <v>58.542855</v>
      </c>
      <c r="Q240" s="28">
        <f t="shared" si="128"/>
        <v>46.834284000000004</v>
      </c>
      <c r="R240" s="28">
        <f t="shared" si="128"/>
        <v>13.7584</v>
      </c>
      <c r="S240" s="28">
        <f t="shared" si="128"/>
        <v>11</v>
      </c>
      <c r="T240" s="28">
        <f t="shared" si="128"/>
        <v>409.244455</v>
      </c>
      <c r="U240" s="152">
        <f t="shared" si="128"/>
        <v>247.715884</v>
      </c>
      <c r="V240" s="27"/>
      <c r="W240" s="27"/>
      <c r="X240" s="28">
        <f>SUM(X238:X239)</f>
        <v>209.820984</v>
      </c>
      <c r="Y240" s="135">
        <f>SUM(X240/U240)</f>
        <v>0.8470227286676538</v>
      </c>
      <c r="Z240" s="28">
        <f>SUM(Z238:Z239)</f>
        <v>11.65</v>
      </c>
      <c r="AA240" s="28">
        <f>SUM(AA238:AA239)</f>
        <v>99.87</v>
      </c>
      <c r="AB240" s="28">
        <f>SUM(AB238:AB239)</f>
        <v>250.064268</v>
      </c>
      <c r="AC240" s="170">
        <f>SUM(AC238,AC239)</f>
        <v>176.05857959999997</v>
      </c>
      <c r="AD240" s="120">
        <f>SUM(AD238,AD239)</f>
        <v>84.69857959999999</v>
      </c>
      <c r="AE240" s="153">
        <f>SUM(AE238,AE239)</f>
        <v>59.740337539999985</v>
      </c>
      <c r="AF240" s="29"/>
    </row>
    <row r="241" spans="1:32" ht="14.25">
      <c r="A241" s="77" t="s">
        <v>182</v>
      </c>
      <c r="B241" s="77"/>
      <c r="C241" s="76"/>
      <c r="D241" s="75"/>
      <c r="E241" s="75"/>
      <c r="F241" s="76"/>
      <c r="G241" s="76"/>
      <c r="H241" s="76"/>
      <c r="I241" s="76"/>
      <c r="J241" s="75"/>
      <c r="K241" s="76"/>
      <c r="L241" s="75"/>
      <c r="M241" s="76"/>
      <c r="N241" s="76"/>
      <c r="O241" s="147">
        <f>SUM(O167,O198,O230)</f>
        <v>821864</v>
      </c>
      <c r="P241" s="75"/>
      <c r="Q241" s="75"/>
      <c r="R241" s="75"/>
      <c r="S241" s="75"/>
      <c r="T241" s="75"/>
      <c r="U241" s="75"/>
      <c r="V241" s="75"/>
      <c r="W241" s="75"/>
      <c r="X241" s="75"/>
      <c r="Y241" s="75"/>
      <c r="Z241" s="75"/>
      <c r="AA241" s="75"/>
      <c r="AB241" s="75"/>
      <c r="AC241" s="75"/>
      <c r="AD241" s="75"/>
      <c r="AE241" s="75"/>
      <c r="AF241" s="72" t="s">
        <v>265</v>
      </c>
    </row>
    <row r="242" spans="1:32" ht="12.75">
      <c r="A242" s="77" t="s">
        <v>173</v>
      </c>
      <c r="B242" s="77"/>
      <c r="C242" s="76"/>
      <c r="D242" s="75"/>
      <c r="E242" s="75"/>
      <c r="F242" s="76"/>
      <c r="G242" s="76"/>
      <c r="H242" s="76"/>
      <c r="I242" s="76"/>
      <c r="J242" s="75"/>
      <c r="K242" s="76"/>
      <c r="L242" s="75"/>
      <c r="M242" s="76"/>
      <c r="N242" s="76"/>
      <c r="O242" s="154">
        <f>SUM(O240/O241)</f>
        <v>0.6783981291308537</v>
      </c>
      <c r="P242" s="75"/>
      <c r="Q242" s="75"/>
      <c r="R242" s="75"/>
      <c r="S242" s="75"/>
      <c r="T242" s="75"/>
      <c r="U242" s="75"/>
      <c r="V242" s="75"/>
      <c r="W242" s="75"/>
      <c r="X242" s="75"/>
      <c r="Y242" s="75"/>
      <c r="Z242" s="75"/>
      <c r="AA242" s="75"/>
      <c r="AB242" s="75"/>
      <c r="AC242" s="75"/>
      <c r="AD242" s="75"/>
      <c r="AE242" s="75"/>
      <c r="AF242" s="72"/>
    </row>
    <row r="243" spans="1:32" ht="12.75">
      <c r="A243" s="77"/>
      <c r="B243" s="77"/>
      <c r="C243" s="76"/>
      <c r="D243" s="75"/>
      <c r="E243" s="75"/>
      <c r="F243" s="76"/>
      <c r="G243" s="76"/>
      <c r="H243" s="76"/>
      <c r="I243" s="76"/>
      <c r="J243" s="75"/>
      <c r="K243" s="76"/>
      <c r="L243" s="75"/>
      <c r="M243" s="76"/>
      <c r="N243" s="76"/>
      <c r="O243" s="74"/>
      <c r="P243" s="75"/>
      <c r="Q243" s="75"/>
      <c r="R243" s="75"/>
      <c r="S243" s="75"/>
      <c r="T243" s="75"/>
      <c r="U243" s="75"/>
      <c r="V243" s="75"/>
      <c r="W243" s="75"/>
      <c r="X243" s="75"/>
      <c r="Y243" s="75"/>
      <c r="Z243" s="75"/>
      <c r="AA243" s="75"/>
      <c r="AB243" s="75"/>
      <c r="AC243" s="75"/>
      <c r="AD243" s="75"/>
      <c r="AE243" s="75"/>
      <c r="AF243" s="5"/>
    </row>
    <row r="244" spans="1:32" ht="12.75">
      <c r="A244" s="194" t="s">
        <v>333</v>
      </c>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row>
    <row r="245" spans="1:32" ht="12.7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row>
    <row r="246" spans="1:32" ht="12.75">
      <c r="A246" s="140" t="s">
        <v>413</v>
      </c>
      <c r="B246" s="77"/>
      <c r="C246" s="76"/>
      <c r="D246" s="75"/>
      <c r="E246" s="75"/>
      <c r="F246" s="76"/>
      <c r="G246" s="76"/>
      <c r="H246" s="76"/>
      <c r="I246" s="76"/>
      <c r="J246" s="75"/>
      <c r="K246" s="76"/>
      <c r="L246" s="75"/>
      <c r="M246" s="76"/>
      <c r="N246" s="76"/>
      <c r="O246" s="83"/>
      <c r="P246" s="75"/>
      <c r="Q246" s="75"/>
      <c r="R246" s="75"/>
      <c r="S246" s="75"/>
      <c r="T246" s="75"/>
      <c r="U246" s="75"/>
      <c r="V246" s="75"/>
      <c r="W246" s="75"/>
      <c r="X246" s="75"/>
      <c r="Y246" s="75"/>
      <c r="Z246" s="75"/>
      <c r="AA246" s="75"/>
      <c r="AB246" s="75"/>
      <c r="AC246" s="75"/>
      <c r="AD246" s="75"/>
      <c r="AE246" s="75"/>
      <c r="AF246" s="5"/>
    </row>
    <row r="247" spans="1:32" ht="15" customHeight="1">
      <c r="A247" s="206"/>
      <c r="B247" s="64"/>
      <c r="C247" s="10"/>
      <c r="D247" s="198" t="s">
        <v>285</v>
      </c>
      <c r="E247" s="198"/>
      <c r="F247" s="199" t="s">
        <v>286</v>
      </c>
      <c r="G247" s="199"/>
      <c r="H247" s="113" t="s">
        <v>131</v>
      </c>
      <c r="I247" s="109">
        <v>2010</v>
      </c>
      <c r="J247" s="208" t="s">
        <v>287</v>
      </c>
      <c r="K247" s="208"/>
      <c r="L247" s="209" t="s">
        <v>288</v>
      </c>
      <c r="M247" s="209"/>
      <c r="N247" s="10">
        <v>2010</v>
      </c>
      <c r="O247" s="68" t="s">
        <v>289</v>
      </c>
      <c r="P247" s="199" t="s">
        <v>290</v>
      </c>
      <c r="Q247" s="199"/>
      <c r="R247" s="199" t="s">
        <v>291</v>
      </c>
      <c r="S247" s="199"/>
      <c r="T247" s="198" t="s">
        <v>292</v>
      </c>
      <c r="U247" s="198"/>
      <c r="V247" s="199" t="s">
        <v>293</v>
      </c>
      <c r="W247" s="199"/>
      <c r="X247" s="114" t="s">
        <v>298</v>
      </c>
      <c r="Y247" s="114" t="s">
        <v>299</v>
      </c>
      <c r="Z247" s="200" t="s">
        <v>294</v>
      </c>
      <c r="AA247" s="40">
        <v>2020</v>
      </c>
      <c r="AB247" s="207" t="s">
        <v>295</v>
      </c>
      <c r="AC247" s="208"/>
      <c r="AD247" s="61" t="s">
        <v>296</v>
      </c>
      <c r="AE247" s="57" t="s">
        <v>296</v>
      </c>
      <c r="AF247" s="10"/>
    </row>
    <row r="248" spans="1:32" ht="12.75">
      <c r="A248" s="206"/>
      <c r="B248" s="66" t="s">
        <v>153</v>
      </c>
      <c r="C248" s="10" t="s">
        <v>0</v>
      </c>
      <c r="D248" s="198"/>
      <c r="E248" s="198"/>
      <c r="F248" s="199"/>
      <c r="G248" s="199"/>
      <c r="H248" s="113"/>
      <c r="I248" s="109" t="s">
        <v>131</v>
      </c>
      <c r="J248" s="208"/>
      <c r="K248" s="208"/>
      <c r="L248" s="209"/>
      <c r="M248" s="209"/>
      <c r="N248" s="10" t="s">
        <v>2</v>
      </c>
      <c r="O248" s="68" t="s">
        <v>161</v>
      </c>
      <c r="P248" s="199"/>
      <c r="Q248" s="199"/>
      <c r="R248" s="199"/>
      <c r="S248" s="199"/>
      <c r="T248" s="198"/>
      <c r="U248" s="198"/>
      <c r="V248" s="199"/>
      <c r="W248" s="199"/>
      <c r="X248" s="114" t="s">
        <v>131</v>
      </c>
      <c r="Y248" s="114"/>
      <c r="Z248" s="201"/>
      <c r="AA248" s="41" t="s">
        <v>145</v>
      </c>
      <c r="AB248" s="207"/>
      <c r="AC248" s="208"/>
      <c r="AD248" s="61" t="s">
        <v>145</v>
      </c>
      <c r="AE248" s="57" t="s">
        <v>297</v>
      </c>
      <c r="AF248" s="10" t="s">
        <v>3</v>
      </c>
    </row>
    <row r="249" spans="1:32" ht="14.25">
      <c r="A249" s="206"/>
      <c r="B249" s="66" t="s">
        <v>151</v>
      </c>
      <c r="C249" s="10" t="s">
        <v>1</v>
      </c>
      <c r="D249" s="198"/>
      <c r="E249" s="198"/>
      <c r="F249" s="199"/>
      <c r="G249" s="199"/>
      <c r="H249" s="113"/>
      <c r="I249" s="109"/>
      <c r="J249" s="208"/>
      <c r="K249" s="208"/>
      <c r="L249" s="209"/>
      <c r="M249" s="209"/>
      <c r="N249" s="10" t="s">
        <v>97</v>
      </c>
      <c r="O249" s="68" t="s">
        <v>270</v>
      </c>
      <c r="P249" s="199"/>
      <c r="Q249" s="199"/>
      <c r="R249" s="199"/>
      <c r="S249" s="199"/>
      <c r="T249" s="198"/>
      <c r="U249" s="198"/>
      <c r="V249" s="199"/>
      <c r="W249" s="199"/>
      <c r="X249" s="109"/>
      <c r="Y249" s="109"/>
      <c r="Z249" s="202"/>
      <c r="AA249" s="39" t="s">
        <v>143</v>
      </c>
      <c r="AB249" s="208"/>
      <c r="AC249" s="208"/>
      <c r="AD249" s="61"/>
      <c r="AE249" s="57"/>
      <c r="AF249" s="125"/>
    </row>
    <row r="250" spans="1:32" ht="52.5">
      <c r="A250" s="78" t="s">
        <v>422</v>
      </c>
      <c r="B250" s="10" t="s">
        <v>154</v>
      </c>
      <c r="C250" s="10" t="s">
        <v>302</v>
      </c>
      <c r="D250" s="10" t="s">
        <v>5</v>
      </c>
      <c r="E250" s="11" t="s">
        <v>7</v>
      </c>
      <c r="F250" s="10" t="s">
        <v>95</v>
      </c>
      <c r="G250" s="10" t="s">
        <v>96</v>
      </c>
      <c r="H250" s="113" t="s">
        <v>7</v>
      </c>
      <c r="I250" s="109"/>
      <c r="J250" s="10" t="s">
        <v>5</v>
      </c>
      <c r="K250" s="12" t="s">
        <v>277</v>
      </c>
      <c r="L250" s="10" t="s">
        <v>5</v>
      </c>
      <c r="M250" s="42" t="s">
        <v>7</v>
      </c>
      <c r="N250" s="10"/>
      <c r="O250" s="68"/>
      <c r="P250" s="10" t="s">
        <v>5</v>
      </c>
      <c r="Q250" s="10" t="s">
        <v>7</v>
      </c>
      <c r="R250" s="10" t="s">
        <v>272</v>
      </c>
      <c r="S250" s="10" t="s">
        <v>273</v>
      </c>
      <c r="T250" s="10" t="s">
        <v>5</v>
      </c>
      <c r="U250" s="11" t="s">
        <v>7</v>
      </c>
      <c r="V250" s="10" t="s">
        <v>95</v>
      </c>
      <c r="W250" s="10" t="s">
        <v>96</v>
      </c>
      <c r="X250" s="109"/>
      <c r="Y250" s="109"/>
      <c r="Z250" s="10"/>
      <c r="AA250" s="10"/>
      <c r="AB250" s="10" t="s">
        <v>5</v>
      </c>
      <c r="AC250" s="12" t="s">
        <v>334</v>
      </c>
      <c r="AD250" s="61" t="s">
        <v>335</v>
      </c>
      <c r="AE250" s="57" t="s">
        <v>336</v>
      </c>
      <c r="AF250" s="125"/>
    </row>
    <row r="251" spans="1:32" ht="12.75">
      <c r="A251" s="10"/>
      <c r="B251" s="10"/>
      <c r="C251" s="125"/>
      <c r="D251" s="10" t="s">
        <v>6</v>
      </c>
      <c r="E251" s="11" t="s">
        <v>6</v>
      </c>
      <c r="F251" s="10"/>
      <c r="G251" s="10"/>
      <c r="H251" s="113" t="s">
        <v>6</v>
      </c>
      <c r="I251" s="109" t="s">
        <v>300</v>
      </c>
      <c r="J251" s="10" t="s">
        <v>6</v>
      </c>
      <c r="K251" s="12" t="s">
        <v>6</v>
      </c>
      <c r="L251" s="10" t="s">
        <v>6</v>
      </c>
      <c r="M251" s="42" t="s">
        <v>6</v>
      </c>
      <c r="N251" s="125"/>
      <c r="O251" s="126"/>
      <c r="P251" s="10" t="s">
        <v>6</v>
      </c>
      <c r="Q251" s="10" t="s">
        <v>6</v>
      </c>
      <c r="R251" s="10" t="s">
        <v>6</v>
      </c>
      <c r="S251" s="10" t="s">
        <v>6</v>
      </c>
      <c r="T251" s="10" t="s">
        <v>6</v>
      </c>
      <c r="U251" s="11" t="s">
        <v>6</v>
      </c>
      <c r="V251" s="10"/>
      <c r="W251" s="10"/>
      <c r="X251" s="109" t="s">
        <v>6</v>
      </c>
      <c r="Y251" s="109" t="s">
        <v>300</v>
      </c>
      <c r="Z251" s="10" t="s">
        <v>6</v>
      </c>
      <c r="AA251" s="10" t="s">
        <v>6</v>
      </c>
      <c r="AB251" s="10" t="s">
        <v>6</v>
      </c>
      <c r="AC251" s="12" t="s">
        <v>6</v>
      </c>
      <c r="AD251" s="61" t="s">
        <v>6</v>
      </c>
      <c r="AE251" s="57" t="s">
        <v>6</v>
      </c>
      <c r="AF251" s="125"/>
    </row>
    <row r="252" spans="1:32" ht="12.75">
      <c r="A252" s="10" t="s">
        <v>4</v>
      </c>
      <c r="B252" s="10"/>
      <c r="C252" s="125"/>
      <c r="D252" s="125"/>
      <c r="E252" s="127"/>
      <c r="F252" s="125"/>
      <c r="G252" s="125"/>
      <c r="H252" s="125"/>
      <c r="I252" s="125"/>
      <c r="J252" s="125"/>
      <c r="K252" s="128"/>
      <c r="L252" s="125"/>
      <c r="M252" s="129"/>
      <c r="N252" s="125"/>
      <c r="O252" s="126"/>
      <c r="P252" s="125"/>
      <c r="Q252" s="125"/>
      <c r="R252" s="125"/>
      <c r="S252" s="125"/>
      <c r="T252" s="125"/>
      <c r="U252" s="13"/>
      <c r="V252" s="44"/>
      <c r="W252" s="44"/>
      <c r="X252" s="44"/>
      <c r="Y252" s="44"/>
      <c r="Z252" s="125"/>
      <c r="AA252" s="125"/>
      <c r="AB252" s="125"/>
      <c r="AC252" s="128"/>
      <c r="AD252" s="121"/>
      <c r="AE252" s="130"/>
      <c r="AF252" s="125"/>
    </row>
    <row r="253" spans="1:32" ht="15">
      <c r="A253" s="54" t="s">
        <v>69</v>
      </c>
      <c r="B253" s="54"/>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row>
    <row r="254" spans="1:32" ht="12.75">
      <c r="A254" s="16" t="s">
        <v>251</v>
      </c>
      <c r="B254" s="16" t="s">
        <v>156</v>
      </c>
      <c r="C254" s="17" t="s">
        <v>139</v>
      </c>
      <c r="D254" s="18">
        <v>1.4</v>
      </c>
      <c r="E254" s="46">
        <v>1.26</v>
      </c>
      <c r="F254" s="17" t="s">
        <v>128</v>
      </c>
      <c r="G254" s="17" t="s">
        <v>127</v>
      </c>
      <c r="H254" s="18">
        <v>0</v>
      </c>
      <c r="I254" s="17"/>
      <c r="J254" s="18">
        <v>1.66</v>
      </c>
      <c r="K254" s="37">
        <v>0.44</v>
      </c>
      <c r="L254" s="18">
        <f aca="true" t="shared" si="129" ref="L254:L281">SUM(D254)</f>
        <v>1.4</v>
      </c>
      <c r="M254" s="47">
        <f>SUM(1.32-K254)</f>
        <v>0.8800000000000001</v>
      </c>
      <c r="N254" s="17" t="s">
        <v>106</v>
      </c>
      <c r="O254" s="131">
        <v>5399</v>
      </c>
      <c r="P254" s="18">
        <f aca="true" t="shared" si="130" ref="P254:P282">SUM(O254*84)*(1.25)/1000000</f>
        <v>0.566895</v>
      </c>
      <c r="Q254" s="18">
        <f aca="true" t="shared" si="131" ref="Q254:Q282">SUM(O254*84)/1000000</f>
        <v>0.453516</v>
      </c>
      <c r="R254" s="18">
        <f aca="true" t="shared" si="132" ref="R254:R282">SUM(E254*0.06)</f>
        <v>0.0756</v>
      </c>
      <c r="S254" s="17"/>
      <c r="T254" s="18">
        <f aca="true" t="shared" si="133" ref="T254:T282">SUM(D254+P254)-(R254+S254)</f>
        <v>1.891295</v>
      </c>
      <c r="U254" s="46">
        <f aca="true" t="shared" si="134" ref="U254:U282">SUM(E254+Q254)-(R254+S254)</f>
        <v>1.6379160000000001</v>
      </c>
      <c r="V254" s="50" t="s">
        <v>131</v>
      </c>
      <c r="W254" s="50" t="s">
        <v>144</v>
      </c>
      <c r="X254" s="50">
        <f>SUM(U254)</f>
        <v>1.6379160000000001</v>
      </c>
      <c r="Y254" s="50"/>
      <c r="Z254" s="18"/>
      <c r="AA254" s="18">
        <f aca="true" t="shared" si="135" ref="AA254:AA274">K254+Z254</f>
        <v>0.44</v>
      </c>
      <c r="AB254" s="18">
        <f aca="true" t="shared" si="136" ref="AB254:AB282">SUM(U254)</f>
        <v>1.6379160000000001</v>
      </c>
      <c r="AC254" s="37">
        <f>SUM(U254*0.7)</f>
        <v>1.1465412</v>
      </c>
      <c r="AD254" s="62">
        <f aca="true" t="shared" si="137" ref="AD254:AD266">SUM(AC254-K254)</f>
        <v>0.7065412</v>
      </c>
      <c r="AE254" s="58">
        <f>SUM(AD254*0.7)</f>
        <v>0.49457883999999996</v>
      </c>
      <c r="AF254" s="17">
        <v>1</v>
      </c>
    </row>
    <row r="255" spans="1:32" ht="12.75">
      <c r="A255" s="16" t="s">
        <v>252</v>
      </c>
      <c r="B255" s="16" t="s">
        <v>156</v>
      </c>
      <c r="C255" s="17" t="s">
        <v>139</v>
      </c>
      <c r="D255" s="18">
        <v>1.56</v>
      </c>
      <c r="E255" s="46">
        <v>1.1</v>
      </c>
      <c r="F255" s="17" t="s">
        <v>128</v>
      </c>
      <c r="G255" s="17" t="s">
        <v>127</v>
      </c>
      <c r="H255" s="18">
        <v>0</v>
      </c>
      <c r="I255" s="17"/>
      <c r="J255" s="18">
        <v>0.26</v>
      </c>
      <c r="K255" s="37">
        <v>0.18</v>
      </c>
      <c r="L255" s="18">
        <f t="shared" si="129"/>
        <v>1.56</v>
      </c>
      <c r="M255" s="47">
        <f aca="true" t="shared" si="138" ref="M255:M267">SUM(E255-K255)</f>
        <v>0.9200000000000002</v>
      </c>
      <c r="N255" s="17" t="s">
        <v>111</v>
      </c>
      <c r="O255" s="131">
        <v>5300</v>
      </c>
      <c r="P255" s="18">
        <f t="shared" si="130"/>
        <v>0.5565</v>
      </c>
      <c r="Q255" s="18">
        <f t="shared" si="131"/>
        <v>0.4452</v>
      </c>
      <c r="R255" s="18">
        <f t="shared" si="132"/>
        <v>0.066</v>
      </c>
      <c r="S255" s="21"/>
      <c r="T255" s="18">
        <f t="shared" si="133"/>
        <v>2.0505000000000004</v>
      </c>
      <c r="U255" s="46">
        <f t="shared" si="134"/>
        <v>1.4792</v>
      </c>
      <c r="V255" s="50" t="s">
        <v>131</v>
      </c>
      <c r="W255" s="50" t="s">
        <v>144</v>
      </c>
      <c r="X255" s="50">
        <f>SUM(U255)</f>
        <v>1.4792</v>
      </c>
      <c r="Y255" s="50"/>
      <c r="Z255" s="18">
        <v>0.65</v>
      </c>
      <c r="AA255" s="18">
        <f t="shared" si="135"/>
        <v>0.8300000000000001</v>
      </c>
      <c r="AB255" s="18">
        <f t="shared" si="136"/>
        <v>1.4792</v>
      </c>
      <c r="AC255" s="37">
        <f aca="true" t="shared" si="139" ref="AC255:AC265">SUM(U255*0.7)</f>
        <v>1.03544</v>
      </c>
      <c r="AD255" s="62">
        <f t="shared" si="137"/>
        <v>0.85544</v>
      </c>
      <c r="AE255" s="58">
        <f>SUM(AD255*0.7)</f>
        <v>0.5988079999999999</v>
      </c>
      <c r="AF255" s="17" t="s">
        <v>383</v>
      </c>
    </row>
    <row r="256" spans="1:32" ht="12.75">
      <c r="A256" s="16" t="s">
        <v>70</v>
      </c>
      <c r="B256" s="16" t="s">
        <v>156</v>
      </c>
      <c r="C256" s="17" t="s">
        <v>139</v>
      </c>
      <c r="D256" s="18">
        <v>4</v>
      </c>
      <c r="E256" s="46">
        <v>1.51</v>
      </c>
      <c r="F256" s="17" t="s">
        <v>128</v>
      </c>
      <c r="G256" s="17" t="s">
        <v>129</v>
      </c>
      <c r="H256" s="18">
        <v>0</v>
      </c>
      <c r="I256" s="17"/>
      <c r="J256" s="18">
        <v>4</v>
      </c>
      <c r="K256" s="37">
        <v>1.51</v>
      </c>
      <c r="L256" s="18">
        <f t="shared" si="129"/>
        <v>4</v>
      </c>
      <c r="M256" s="47">
        <f t="shared" si="138"/>
        <v>0</v>
      </c>
      <c r="N256" s="17" t="s">
        <v>106</v>
      </c>
      <c r="O256" s="131">
        <v>14500</v>
      </c>
      <c r="P256" s="18">
        <f t="shared" si="130"/>
        <v>1.5225</v>
      </c>
      <c r="Q256" s="18">
        <f t="shared" si="131"/>
        <v>1.218</v>
      </c>
      <c r="R256" s="18">
        <f t="shared" si="132"/>
        <v>0.0906</v>
      </c>
      <c r="S256" s="17"/>
      <c r="T256" s="18">
        <f t="shared" si="133"/>
        <v>5.4319</v>
      </c>
      <c r="U256" s="46">
        <f t="shared" si="134"/>
        <v>2.6374</v>
      </c>
      <c r="V256" s="50" t="s">
        <v>128</v>
      </c>
      <c r="W256" s="50" t="s">
        <v>144</v>
      </c>
      <c r="X256" s="50"/>
      <c r="Y256" s="50"/>
      <c r="Z256" s="18"/>
      <c r="AA256" s="18">
        <f t="shared" si="135"/>
        <v>1.51</v>
      </c>
      <c r="AB256" s="18">
        <f t="shared" si="136"/>
        <v>2.6374</v>
      </c>
      <c r="AC256" s="37">
        <f>SUM(U256*1)</f>
        <v>2.6374</v>
      </c>
      <c r="AD256" s="62">
        <f t="shared" si="137"/>
        <v>1.1274</v>
      </c>
      <c r="AE256" s="58">
        <f>SUM(AD256*1)</f>
        <v>1.1274</v>
      </c>
      <c r="AF256" s="17" t="s">
        <v>278</v>
      </c>
    </row>
    <row r="257" spans="1:32" ht="12.75">
      <c r="A257" s="16" t="s">
        <v>71</v>
      </c>
      <c r="B257" s="16" t="s">
        <v>156</v>
      </c>
      <c r="C257" s="17" t="s">
        <v>139</v>
      </c>
      <c r="D257" s="18">
        <v>1</v>
      </c>
      <c r="E257" s="46">
        <v>0.36</v>
      </c>
      <c r="F257" s="17" t="s">
        <v>128</v>
      </c>
      <c r="G257" s="17" t="s">
        <v>129</v>
      </c>
      <c r="H257" s="18">
        <v>0</v>
      </c>
      <c r="I257" s="17"/>
      <c r="J257" s="18">
        <v>1</v>
      </c>
      <c r="K257" s="37">
        <v>0.36</v>
      </c>
      <c r="L257" s="18">
        <f t="shared" si="129"/>
        <v>1</v>
      </c>
      <c r="M257" s="47">
        <f t="shared" si="138"/>
        <v>0</v>
      </c>
      <c r="N257" s="17" t="s">
        <v>106</v>
      </c>
      <c r="O257" s="131">
        <v>1800</v>
      </c>
      <c r="P257" s="18">
        <f t="shared" si="130"/>
        <v>0.189</v>
      </c>
      <c r="Q257" s="18">
        <f t="shared" si="131"/>
        <v>0.1512</v>
      </c>
      <c r="R257" s="18">
        <f t="shared" si="132"/>
        <v>0.021599999999999998</v>
      </c>
      <c r="S257" s="17"/>
      <c r="T257" s="18">
        <f t="shared" si="133"/>
        <v>1.1674</v>
      </c>
      <c r="U257" s="46">
        <f t="shared" si="134"/>
        <v>0.4896</v>
      </c>
      <c r="V257" s="50" t="s">
        <v>128</v>
      </c>
      <c r="W257" s="50" t="s">
        <v>144</v>
      </c>
      <c r="X257" s="50"/>
      <c r="Y257" s="50"/>
      <c r="Z257" s="18"/>
      <c r="AA257" s="18">
        <f t="shared" si="135"/>
        <v>0.36</v>
      </c>
      <c r="AB257" s="18">
        <f t="shared" si="136"/>
        <v>0.4896</v>
      </c>
      <c r="AC257" s="37">
        <f>SUM(U257*1)</f>
        <v>0.4896</v>
      </c>
      <c r="AD257" s="62">
        <f t="shared" si="137"/>
        <v>0.1296</v>
      </c>
      <c r="AE257" s="58">
        <f>SUM(AD257*1)</f>
        <v>0.1296</v>
      </c>
      <c r="AF257" s="17" t="s">
        <v>278</v>
      </c>
    </row>
    <row r="258" spans="1:32" ht="12.75">
      <c r="A258" s="16" t="s">
        <v>72</v>
      </c>
      <c r="B258" s="16" t="s">
        <v>156</v>
      </c>
      <c r="C258" s="17" t="s">
        <v>139</v>
      </c>
      <c r="D258" s="18">
        <v>0.18</v>
      </c>
      <c r="E258" s="46">
        <v>0.13</v>
      </c>
      <c r="F258" s="17" t="s">
        <v>128</v>
      </c>
      <c r="G258" s="17" t="s">
        <v>127</v>
      </c>
      <c r="H258" s="18">
        <v>0</v>
      </c>
      <c r="I258" s="17"/>
      <c r="J258" s="18">
        <v>0.19</v>
      </c>
      <c r="K258" s="37">
        <v>0.13</v>
      </c>
      <c r="L258" s="18">
        <f t="shared" si="129"/>
        <v>0.18</v>
      </c>
      <c r="M258" s="47">
        <f t="shared" si="138"/>
        <v>0</v>
      </c>
      <c r="N258" s="17" t="s">
        <v>108</v>
      </c>
      <c r="O258" s="131">
        <v>200</v>
      </c>
      <c r="P258" s="18">
        <f t="shared" si="130"/>
        <v>0.021</v>
      </c>
      <c r="Q258" s="18">
        <f t="shared" si="131"/>
        <v>0.0168</v>
      </c>
      <c r="R258" s="18">
        <f t="shared" si="132"/>
        <v>0.0078</v>
      </c>
      <c r="S258" s="17"/>
      <c r="T258" s="18">
        <f t="shared" si="133"/>
        <v>0.19319999999999998</v>
      </c>
      <c r="U258" s="46">
        <f t="shared" si="134"/>
        <v>0.139</v>
      </c>
      <c r="V258" s="50" t="s">
        <v>128</v>
      </c>
      <c r="W258" s="50" t="s">
        <v>144</v>
      </c>
      <c r="X258" s="50"/>
      <c r="Y258" s="50"/>
      <c r="Z258" s="18"/>
      <c r="AA258" s="18">
        <f t="shared" si="135"/>
        <v>0.13</v>
      </c>
      <c r="AB258" s="18">
        <f t="shared" si="136"/>
        <v>0.139</v>
      </c>
      <c r="AC258" s="37">
        <f>SUM(U258*1)</f>
        <v>0.139</v>
      </c>
      <c r="AD258" s="62">
        <f t="shared" si="137"/>
        <v>0.009000000000000008</v>
      </c>
      <c r="AE258" s="58">
        <f aca="true" t="shared" si="140" ref="AE258:AE265">SUM(AD258*0.7)</f>
        <v>0.006300000000000005</v>
      </c>
      <c r="AF258" s="17" t="s">
        <v>105</v>
      </c>
    </row>
    <row r="259" spans="1:32" ht="12.75">
      <c r="A259" s="16" t="s">
        <v>253</v>
      </c>
      <c r="B259" s="16" t="s">
        <v>156</v>
      </c>
      <c r="C259" s="17" t="s">
        <v>139</v>
      </c>
      <c r="D259" s="18">
        <v>0.15</v>
      </c>
      <c r="E259" s="46">
        <v>0.02</v>
      </c>
      <c r="F259" s="17" t="s">
        <v>169</v>
      </c>
      <c r="G259" s="17" t="s">
        <v>129</v>
      </c>
      <c r="H259" s="18">
        <v>0</v>
      </c>
      <c r="I259" s="17"/>
      <c r="J259" s="18">
        <v>0</v>
      </c>
      <c r="K259" s="37">
        <v>0</v>
      </c>
      <c r="L259" s="18">
        <f t="shared" si="129"/>
        <v>0.15</v>
      </c>
      <c r="M259" s="47">
        <f t="shared" si="138"/>
        <v>0.02</v>
      </c>
      <c r="N259" s="17"/>
      <c r="O259" s="131">
        <v>3650</v>
      </c>
      <c r="P259" s="18">
        <f t="shared" si="130"/>
        <v>0.38325</v>
      </c>
      <c r="Q259" s="18">
        <f t="shared" si="131"/>
        <v>0.3066</v>
      </c>
      <c r="R259" s="18">
        <f t="shared" si="132"/>
        <v>0.0012</v>
      </c>
      <c r="S259" s="17"/>
      <c r="T259" s="18">
        <f t="shared" si="133"/>
        <v>0.53205</v>
      </c>
      <c r="U259" s="46">
        <f t="shared" si="134"/>
        <v>0.3254</v>
      </c>
      <c r="V259" s="50" t="s">
        <v>128</v>
      </c>
      <c r="W259" s="50" t="s">
        <v>144</v>
      </c>
      <c r="X259" s="50"/>
      <c r="Y259" s="50"/>
      <c r="Z259" s="18"/>
      <c r="AA259" s="18">
        <f t="shared" si="135"/>
        <v>0</v>
      </c>
      <c r="AB259" s="18">
        <f t="shared" si="136"/>
        <v>0.3254</v>
      </c>
      <c r="AC259" s="37">
        <f t="shared" si="139"/>
        <v>0.22778</v>
      </c>
      <c r="AD259" s="62">
        <f t="shared" si="137"/>
        <v>0.22778</v>
      </c>
      <c r="AE259" s="58">
        <f t="shared" si="140"/>
        <v>0.159446</v>
      </c>
      <c r="AF259" s="17">
        <v>1</v>
      </c>
    </row>
    <row r="260" spans="1:32" ht="12.75">
      <c r="A260" s="115" t="s">
        <v>254</v>
      </c>
      <c r="B260" s="16" t="s">
        <v>156</v>
      </c>
      <c r="C260" s="17" t="s">
        <v>139</v>
      </c>
      <c r="D260" s="50">
        <v>0.1</v>
      </c>
      <c r="E260" s="46">
        <v>0.01</v>
      </c>
      <c r="F260" s="17" t="s">
        <v>169</v>
      </c>
      <c r="G260" s="17" t="s">
        <v>129</v>
      </c>
      <c r="H260" s="18">
        <v>0</v>
      </c>
      <c r="I260" s="17"/>
      <c r="J260" s="18">
        <v>0</v>
      </c>
      <c r="K260" s="37">
        <v>0</v>
      </c>
      <c r="L260" s="18">
        <f t="shared" si="129"/>
        <v>0.1</v>
      </c>
      <c r="M260" s="47">
        <f t="shared" si="138"/>
        <v>0.01</v>
      </c>
      <c r="N260" s="17"/>
      <c r="O260" s="131">
        <v>2200</v>
      </c>
      <c r="P260" s="18">
        <f t="shared" si="130"/>
        <v>0.231</v>
      </c>
      <c r="Q260" s="18">
        <f t="shared" si="131"/>
        <v>0.1848</v>
      </c>
      <c r="R260" s="18">
        <f t="shared" si="132"/>
        <v>0.0006</v>
      </c>
      <c r="S260" s="17"/>
      <c r="T260" s="18">
        <f t="shared" si="133"/>
        <v>0.3304</v>
      </c>
      <c r="U260" s="46">
        <f t="shared" si="134"/>
        <v>0.1942</v>
      </c>
      <c r="V260" s="50" t="s">
        <v>128</v>
      </c>
      <c r="W260" s="50" t="s">
        <v>144</v>
      </c>
      <c r="X260" s="50"/>
      <c r="Y260" s="50"/>
      <c r="Z260" s="18"/>
      <c r="AA260" s="18">
        <f t="shared" si="135"/>
        <v>0</v>
      </c>
      <c r="AB260" s="18">
        <f t="shared" si="136"/>
        <v>0.1942</v>
      </c>
      <c r="AC260" s="37">
        <f t="shared" si="139"/>
        <v>0.13594</v>
      </c>
      <c r="AD260" s="62">
        <f t="shared" si="137"/>
        <v>0.13594</v>
      </c>
      <c r="AE260" s="58">
        <f t="shared" si="140"/>
        <v>0.09515799999999999</v>
      </c>
      <c r="AF260" s="17" t="s">
        <v>282</v>
      </c>
    </row>
    <row r="261" spans="1:32" ht="12.75">
      <c r="A261" s="115" t="s">
        <v>255</v>
      </c>
      <c r="B261" s="16" t="s">
        <v>156</v>
      </c>
      <c r="C261" s="17" t="s">
        <v>139</v>
      </c>
      <c r="D261" s="50">
        <v>0.12</v>
      </c>
      <c r="E261" s="46">
        <v>0.01</v>
      </c>
      <c r="F261" s="17" t="s">
        <v>169</v>
      </c>
      <c r="G261" s="17" t="s">
        <v>129</v>
      </c>
      <c r="H261" s="18">
        <v>0</v>
      </c>
      <c r="I261" s="17"/>
      <c r="J261" s="18">
        <v>0</v>
      </c>
      <c r="K261" s="37">
        <v>0</v>
      </c>
      <c r="L261" s="18">
        <f t="shared" si="129"/>
        <v>0.12</v>
      </c>
      <c r="M261" s="47">
        <f t="shared" si="138"/>
        <v>0.01</v>
      </c>
      <c r="N261" s="17"/>
      <c r="O261" s="131">
        <v>400</v>
      </c>
      <c r="P261" s="18">
        <f t="shared" si="130"/>
        <v>0.042</v>
      </c>
      <c r="Q261" s="18">
        <f t="shared" si="131"/>
        <v>0.0336</v>
      </c>
      <c r="R261" s="18">
        <f t="shared" si="132"/>
        <v>0.0006</v>
      </c>
      <c r="S261" s="17"/>
      <c r="T261" s="18">
        <f t="shared" si="133"/>
        <v>0.16140000000000002</v>
      </c>
      <c r="U261" s="46">
        <f t="shared" si="134"/>
        <v>0.043</v>
      </c>
      <c r="V261" s="50" t="s">
        <v>128</v>
      </c>
      <c r="W261" s="50" t="s">
        <v>144</v>
      </c>
      <c r="X261" s="50"/>
      <c r="Y261" s="50"/>
      <c r="Z261" s="18"/>
      <c r="AA261" s="18">
        <f t="shared" si="135"/>
        <v>0</v>
      </c>
      <c r="AB261" s="18">
        <f t="shared" si="136"/>
        <v>0.043</v>
      </c>
      <c r="AC261" s="37">
        <f t="shared" si="139"/>
        <v>0.030099999999999995</v>
      </c>
      <c r="AD261" s="62">
        <f t="shared" si="137"/>
        <v>0.030099999999999995</v>
      </c>
      <c r="AE261" s="58">
        <f t="shared" si="140"/>
        <v>0.021069999999999995</v>
      </c>
      <c r="AF261" s="17">
        <v>1</v>
      </c>
    </row>
    <row r="262" spans="1:32" ht="12.75">
      <c r="A262" s="16" t="s">
        <v>283</v>
      </c>
      <c r="B262" s="16" t="s">
        <v>156</v>
      </c>
      <c r="C262" s="17" t="s">
        <v>139</v>
      </c>
      <c r="D262" s="18">
        <v>0.34</v>
      </c>
      <c r="E262" s="46">
        <v>0.13</v>
      </c>
      <c r="F262" s="17" t="s">
        <v>169</v>
      </c>
      <c r="G262" s="17" t="s">
        <v>129</v>
      </c>
      <c r="H262" s="18">
        <v>0</v>
      </c>
      <c r="I262" s="17"/>
      <c r="J262" s="18">
        <v>0</v>
      </c>
      <c r="K262" s="37">
        <v>0</v>
      </c>
      <c r="L262" s="18">
        <f>SUM(D262)</f>
        <v>0.34</v>
      </c>
      <c r="M262" s="47">
        <f>SUM(E262-K262)</f>
        <v>0.13</v>
      </c>
      <c r="N262" s="17"/>
      <c r="O262" s="131">
        <v>150</v>
      </c>
      <c r="P262" s="18">
        <f>SUM(O262*84)*(1.25)/1000000</f>
        <v>0.01575</v>
      </c>
      <c r="Q262" s="18">
        <f>SUM(O262*84)/1000000</f>
        <v>0.0126</v>
      </c>
      <c r="R262" s="18">
        <f t="shared" si="132"/>
        <v>0.0078</v>
      </c>
      <c r="S262" s="17"/>
      <c r="T262" s="18">
        <f t="shared" si="133"/>
        <v>0.34795000000000004</v>
      </c>
      <c r="U262" s="46">
        <f t="shared" si="134"/>
        <v>0.1348</v>
      </c>
      <c r="V262" s="50" t="s">
        <v>128</v>
      </c>
      <c r="W262" s="50" t="s">
        <v>144</v>
      </c>
      <c r="X262" s="50"/>
      <c r="Y262" s="50"/>
      <c r="Z262" s="18"/>
      <c r="AA262" s="18">
        <f t="shared" si="135"/>
        <v>0</v>
      </c>
      <c r="AB262" s="18">
        <f>SUM(U262)</f>
        <v>0.1348</v>
      </c>
      <c r="AC262" s="37">
        <f t="shared" si="139"/>
        <v>0.09436</v>
      </c>
      <c r="AD262" s="62">
        <f t="shared" si="137"/>
        <v>0.09436</v>
      </c>
      <c r="AE262" s="58">
        <f t="shared" si="140"/>
        <v>0.066052</v>
      </c>
      <c r="AF262" s="17">
        <v>1</v>
      </c>
    </row>
    <row r="263" spans="1:32" ht="25.5">
      <c r="A263" s="16" t="s">
        <v>73</v>
      </c>
      <c r="B263" s="16" t="s">
        <v>156</v>
      </c>
      <c r="C263" s="17" t="s">
        <v>139</v>
      </c>
      <c r="D263" s="18">
        <v>2.97</v>
      </c>
      <c r="E263" s="46">
        <v>1.33</v>
      </c>
      <c r="F263" s="17" t="s">
        <v>128</v>
      </c>
      <c r="G263" s="17" t="s">
        <v>127</v>
      </c>
      <c r="H263" s="18">
        <v>0</v>
      </c>
      <c r="I263" s="17"/>
      <c r="J263" s="18">
        <v>0.91</v>
      </c>
      <c r="K263" s="37">
        <v>0.6</v>
      </c>
      <c r="L263" s="18">
        <f t="shared" si="129"/>
        <v>2.97</v>
      </c>
      <c r="M263" s="47">
        <f t="shared" si="138"/>
        <v>0.7300000000000001</v>
      </c>
      <c r="N263" s="17" t="s">
        <v>120</v>
      </c>
      <c r="O263" s="131">
        <v>17000</v>
      </c>
      <c r="P263" s="18">
        <f t="shared" si="130"/>
        <v>1.785</v>
      </c>
      <c r="Q263" s="18">
        <f t="shared" si="131"/>
        <v>1.428</v>
      </c>
      <c r="R263" s="18">
        <f t="shared" si="132"/>
        <v>0.0798</v>
      </c>
      <c r="S263" s="17"/>
      <c r="T263" s="18">
        <f t="shared" si="133"/>
        <v>4.6752</v>
      </c>
      <c r="U263" s="46">
        <f t="shared" si="134"/>
        <v>2.6782</v>
      </c>
      <c r="V263" s="50" t="s">
        <v>131</v>
      </c>
      <c r="W263" s="50" t="s">
        <v>144</v>
      </c>
      <c r="X263" s="50">
        <f>SUM(U263)</f>
        <v>2.6782</v>
      </c>
      <c r="Y263" s="50"/>
      <c r="Z263" s="18">
        <v>0.6</v>
      </c>
      <c r="AA263" s="18">
        <f t="shared" si="135"/>
        <v>1.2</v>
      </c>
      <c r="AB263" s="18">
        <f t="shared" si="136"/>
        <v>2.6782</v>
      </c>
      <c r="AC263" s="37">
        <f t="shared" si="139"/>
        <v>1.8747399999999999</v>
      </c>
      <c r="AD263" s="62">
        <f t="shared" si="137"/>
        <v>1.27474</v>
      </c>
      <c r="AE263" s="58">
        <f t="shared" si="140"/>
        <v>0.892318</v>
      </c>
      <c r="AF263" s="17" t="s">
        <v>384</v>
      </c>
    </row>
    <row r="264" spans="1:32" ht="12.75">
      <c r="A264" s="16" t="s">
        <v>74</v>
      </c>
      <c r="B264" s="16" t="s">
        <v>156</v>
      </c>
      <c r="C264" s="17" t="s">
        <v>139</v>
      </c>
      <c r="D264" s="18">
        <v>1.25</v>
      </c>
      <c r="E264" s="46">
        <v>0.44</v>
      </c>
      <c r="F264" s="17" t="s">
        <v>128</v>
      </c>
      <c r="G264" s="17" t="s">
        <v>132</v>
      </c>
      <c r="H264" s="18">
        <v>0</v>
      </c>
      <c r="I264" s="17"/>
      <c r="J264" s="18">
        <v>0.44</v>
      </c>
      <c r="K264" s="37">
        <v>0.17</v>
      </c>
      <c r="L264" s="18">
        <f t="shared" si="129"/>
        <v>1.25</v>
      </c>
      <c r="M264" s="47">
        <f t="shared" si="138"/>
        <v>0.27</v>
      </c>
      <c r="N264" s="17" t="s">
        <v>119</v>
      </c>
      <c r="O264" s="131">
        <v>3300</v>
      </c>
      <c r="P264" s="18">
        <f t="shared" si="130"/>
        <v>0.3465</v>
      </c>
      <c r="Q264" s="18">
        <f t="shared" si="131"/>
        <v>0.2772</v>
      </c>
      <c r="R264" s="18">
        <f t="shared" si="132"/>
        <v>0.0264</v>
      </c>
      <c r="S264" s="17"/>
      <c r="T264" s="18">
        <f t="shared" si="133"/>
        <v>1.5701</v>
      </c>
      <c r="U264" s="46">
        <f t="shared" si="134"/>
        <v>0.6908000000000001</v>
      </c>
      <c r="V264" s="50" t="s">
        <v>128</v>
      </c>
      <c r="W264" s="50" t="s">
        <v>144</v>
      </c>
      <c r="X264" s="50"/>
      <c r="Y264" s="50"/>
      <c r="Z264" s="18"/>
      <c r="AA264" s="18">
        <f t="shared" si="135"/>
        <v>0.17</v>
      </c>
      <c r="AB264" s="18">
        <f t="shared" si="136"/>
        <v>0.6908000000000001</v>
      </c>
      <c r="AC264" s="37">
        <f t="shared" si="139"/>
        <v>0.48356000000000005</v>
      </c>
      <c r="AD264" s="62">
        <f t="shared" si="137"/>
        <v>0.31356000000000006</v>
      </c>
      <c r="AE264" s="58">
        <f t="shared" si="140"/>
        <v>0.21949200000000002</v>
      </c>
      <c r="AF264" s="17">
        <v>1</v>
      </c>
    </row>
    <row r="265" spans="1:32" ht="12.75">
      <c r="A265" s="16" t="s">
        <v>75</v>
      </c>
      <c r="B265" s="16" t="s">
        <v>156</v>
      </c>
      <c r="C265" s="17" t="s">
        <v>139</v>
      </c>
      <c r="D265" s="18">
        <v>1.9</v>
      </c>
      <c r="E265" s="46">
        <v>0.92</v>
      </c>
      <c r="F265" s="17" t="s">
        <v>128</v>
      </c>
      <c r="G265" s="17" t="s">
        <v>127</v>
      </c>
      <c r="H265" s="18">
        <v>0</v>
      </c>
      <c r="I265" s="17"/>
      <c r="J265" s="18">
        <v>0.29</v>
      </c>
      <c r="K265" s="37">
        <v>0.12</v>
      </c>
      <c r="L265" s="18">
        <f t="shared" si="129"/>
        <v>1.9</v>
      </c>
      <c r="M265" s="47">
        <f t="shared" si="138"/>
        <v>0.8</v>
      </c>
      <c r="N265" s="17" t="s">
        <v>119</v>
      </c>
      <c r="O265" s="131">
        <v>10600</v>
      </c>
      <c r="P265" s="18">
        <f t="shared" si="130"/>
        <v>1.113</v>
      </c>
      <c r="Q265" s="18">
        <f t="shared" si="131"/>
        <v>0.8904</v>
      </c>
      <c r="R265" s="18">
        <f t="shared" si="132"/>
        <v>0.0552</v>
      </c>
      <c r="S265" s="17"/>
      <c r="T265" s="18">
        <f t="shared" si="133"/>
        <v>2.9577999999999998</v>
      </c>
      <c r="U265" s="46">
        <f t="shared" si="134"/>
        <v>1.7552</v>
      </c>
      <c r="V265" s="50" t="s">
        <v>131</v>
      </c>
      <c r="W265" s="50" t="s">
        <v>144</v>
      </c>
      <c r="X265" s="50">
        <f>SUM(U265)</f>
        <v>1.7552</v>
      </c>
      <c r="Y265" s="50"/>
      <c r="Z265" s="18">
        <v>0.35</v>
      </c>
      <c r="AA265" s="18">
        <f t="shared" si="135"/>
        <v>0.47</v>
      </c>
      <c r="AB265" s="18">
        <f t="shared" si="136"/>
        <v>1.7552</v>
      </c>
      <c r="AC265" s="37">
        <f t="shared" si="139"/>
        <v>1.22864</v>
      </c>
      <c r="AD265" s="62">
        <f t="shared" si="137"/>
        <v>1.1086399999999998</v>
      </c>
      <c r="AE265" s="58">
        <f t="shared" si="140"/>
        <v>0.7760479999999998</v>
      </c>
      <c r="AF265" s="17" t="s">
        <v>385</v>
      </c>
    </row>
    <row r="266" spans="1:32" ht="12.75">
      <c r="A266" s="16" t="s">
        <v>256</v>
      </c>
      <c r="B266" s="16" t="s">
        <v>156</v>
      </c>
      <c r="C266" s="17" t="s">
        <v>139</v>
      </c>
      <c r="D266" s="18">
        <v>13.7</v>
      </c>
      <c r="E266" s="46">
        <v>8.04</v>
      </c>
      <c r="F266" s="17" t="s">
        <v>131</v>
      </c>
      <c r="G266" s="17" t="s">
        <v>130</v>
      </c>
      <c r="H266" s="18">
        <v>8.04</v>
      </c>
      <c r="I266" s="17"/>
      <c r="J266" s="18">
        <v>8</v>
      </c>
      <c r="K266" s="37">
        <v>4.79</v>
      </c>
      <c r="L266" s="18">
        <f t="shared" si="129"/>
        <v>13.7</v>
      </c>
      <c r="M266" s="47">
        <f>SUM(10.36-K266)</f>
        <v>5.569999999999999</v>
      </c>
      <c r="N266" s="17" t="s">
        <v>106</v>
      </c>
      <c r="O266" s="131">
        <v>27000</v>
      </c>
      <c r="P266" s="18">
        <f t="shared" si="130"/>
        <v>2.835</v>
      </c>
      <c r="Q266" s="18">
        <f t="shared" si="131"/>
        <v>2.268</v>
      </c>
      <c r="R266" s="18">
        <f t="shared" si="132"/>
        <v>0.48239999999999994</v>
      </c>
      <c r="S266" s="17"/>
      <c r="T266" s="18">
        <f t="shared" si="133"/>
        <v>16.0526</v>
      </c>
      <c r="U266" s="46">
        <f t="shared" si="134"/>
        <v>9.8256</v>
      </c>
      <c r="V266" s="50" t="s">
        <v>131</v>
      </c>
      <c r="W266" s="50" t="s">
        <v>144</v>
      </c>
      <c r="X266" s="50">
        <f>SUM(U266)</f>
        <v>9.8256</v>
      </c>
      <c r="Y266" s="50"/>
      <c r="Z266" s="18">
        <v>3.84</v>
      </c>
      <c r="AA266" s="18">
        <f t="shared" si="135"/>
        <v>8.629999999999999</v>
      </c>
      <c r="AB266" s="18">
        <f>SUM(U266,U267)</f>
        <v>15.0866</v>
      </c>
      <c r="AC266" s="37">
        <f>SUM(U266:U267)*1</f>
        <v>15.0866</v>
      </c>
      <c r="AD266" s="62">
        <f t="shared" si="137"/>
        <v>10.296600000000002</v>
      </c>
      <c r="AE266" s="58">
        <f>SUM(AD266*1)</f>
        <v>10.296600000000002</v>
      </c>
      <c r="AF266" s="17" t="s">
        <v>388</v>
      </c>
    </row>
    <row r="267" spans="1:32" ht="15.75" customHeight="1">
      <c r="A267" s="16" t="s">
        <v>76</v>
      </c>
      <c r="B267" s="16" t="s">
        <v>156</v>
      </c>
      <c r="C267" s="17" t="s">
        <v>139</v>
      </c>
      <c r="D267" s="18">
        <v>8</v>
      </c>
      <c r="E267" s="46">
        <v>3.47</v>
      </c>
      <c r="F267" s="17" t="s">
        <v>131</v>
      </c>
      <c r="G267" s="17" t="s">
        <v>129</v>
      </c>
      <c r="H267" s="18">
        <v>3.47</v>
      </c>
      <c r="I267" s="17"/>
      <c r="J267" s="18">
        <v>0</v>
      </c>
      <c r="K267" s="37">
        <v>0</v>
      </c>
      <c r="L267" s="18">
        <f t="shared" si="129"/>
        <v>8</v>
      </c>
      <c r="M267" s="47">
        <f t="shared" si="138"/>
        <v>3.47</v>
      </c>
      <c r="N267" s="17"/>
      <c r="O267" s="131">
        <v>23800</v>
      </c>
      <c r="P267" s="18">
        <f t="shared" si="130"/>
        <v>2.499</v>
      </c>
      <c r="Q267" s="18">
        <f t="shared" si="131"/>
        <v>1.9992</v>
      </c>
      <c r="R267" s="18">
        <f t="shared" si="132"/>
        <v>0.2082</v>
      </c>
      <c r="S267" s="21"/>
      <c r="T267" s="18">
        <f t="shared" si="133"/>
        <v>10.2908</v>
      </c>
      <c r="U267" s="46">
        <f t="shared" si="134"/>
        <v>5.261000000000001</v>
      </c>
      <c r="V267" s="50" t="s">
        <v>131</v>
      </c>
      <c r="W267" s="50" t="s">
        <v>144</v>
      </c>
      <c r="X267" s="50">
        <f>SUM(U267)</f>
        <v>5.261000000000001</v>
      </c>
      <c r="Y267" s="50"/>
      <c r="Z267" s="159">
        <v>3.84</v>
      </c>
      <c r="AA267" s="18">
        <f t="shared" si="135"/>
        <v>3.84</v>
      </c>
      <c r="AB267" s="159" t="s">
        <v>147</v>
      </c>
      <c r="AC267" s="161" t="s">
        <v>147</v>
      </c>
      <c r="AD267" s="116" t="s">
        <v>147</v>
      </c>
      <c r="AE267" s="164" t="s">
        <v>147</v>
      </c>
      <c r="AF267" s="17" t="s">
        <v>386</v>
      </c>
    </row>
    <row r="268" spans="1:32" ht="12.75">
      <c r="A268" s="16" t="s">
        <v>284</v>
      </c>
      <c r="B268" s="16" t="s">
        <v>156</v>
      </c>
      <c r="C268" s="17" t="s">
        <v>139</v>
      </c>
      <c r="D268" s="18">
        <v>0.75</v>
      </c>
      <c r="E268" s="46">
        <v>0.32</v>
      </c>
      <c r="F268" s="17" t="s">
        <v>131</v>
      </c>
      <c r="G268" s="17" t="s">
        <v>127</v>
      </c>
      <c r="H268" s="18">
        <v>0.32</v>
      </c>
      <c r="I268" s="17"/>
      <c r="J268" s="18">
        <v>0</v>
      </c>
      <c r="K268" s="37">
        <v>0</v>
      </c>
      <c r="L268" s="18">
        <f t="shared" si="129"/>
        <v>0.75</v>
      </c>
      <c r="M268" s="47">
        <f aca="true" t="shared" si="141" ref="M268:M282">SUM(E268-K268)</f>
        <v>0.32</v>
      </c>
      <c r="N268" s="17"/>
      <c r="O268" s="131">
        <v>200</v>
      </c>
      <c r="P268" s="18">
        <f t="shared" si="130"/>
        <v>0.021</v>
      </c>
      <c r="Q268" s="18">
        <f t="shared" si="131"/>
        <v>0.0168</v>
      </c>
      <c r="R268" s="18">
        <f t="shared" si="132"/>
        <v>0.0192</v>
      </c>
      <c r="S268" s="17"/>
      <c r="T268" s="18">
        <f t="shared" si="133"/>
        <v>0.7518</v>
      </c>
      <c r="U268" s="46">
        <f t="shared" si="134"/>
        <v>0.3176</v>
      </c>
      <c r="V268" s="50" t="s">
        <v>131</v>
      </c>
      <c r="W268" s="50" t="s">
        <v>144</v>
      </c>
      <c r="X268" s="50">
        <f>SUM(U268)</f>
        <v>0.3176</v>
      </c>
      <c r="Y268" s="50"/>
      <c r="Z268" s="18">
        <v>0.32</v>
      </c>
      <c r="AA268" s="18">
        <f t="shared" si="135"/>
        <v>0.32</v>
      </c>
      <c r="AB268" s="18">
        <f t="shared" si="136"/>
        <v>0.3176</v>
      </c>
      <c r="AC268" s="37">
        <f>SUM(U268*0.7)</f>
        <v>0.22232</v>
      </c>
      <c r="AD268" s="62">
        <f aca="true" t="shared" si="142" ref="AD268:AD282">SUM(AC268-K268)</f>
        <v>0.22232</v>
      </c>
      <c r="AE268" s="58">
        <f>SUM(AD268*1)</f>
        <v>0.22232</v>
      </c>
      <c r="AF268" s="17" t="s">
        <v>387</v>
      </c>
    </row>
    <row r="269" spans="1:32" ht="12.75">
      <c r="A269" s="16" t="s">
        <v>257</v>
      </c>
      <c r="B269" s="16" t="s">
        <v>156</v>
      </c>
      <c r="C269" s="17" t="s">
        <v>320</v>
      </c>
      <c r="D269" s="18">
        <v>0.22</v>
      </c>
      <c r="E269" s="46">
        <v>0.08</v>
      </c>
      <c r="F269" s="17" t="s">
        <v>169</v>
      </c>
      <c r="G269" s="17" t="s">
        <v>129</v>
      </c>
      <c r="H269" s="18">
        <v>0</v>
      </c>
      <c r="I269" s="17"/>
      <c r="J269" s="18">
        <v>0</v>
      </c>
      <c r="K269" s="37">
        <v>0</v>
      </c>
      <c r="L269" s="18">
        <f t="shared" si="129"/>
        <v>0.22</v>
      </c>
      <c r="M269" s="47">
        <f t="shared" si="141"/>
        <v>0.08</v>
      </c>
      <c r="N269" s="17"/>
      <c r="O269" s="131">
        <v>3300</v>
      </c>
      <c r="P269" s="18">
        <f t="shared" si="130"/>
        <v>0.3465</v>
      </c>
      <c r="Q269" s="18">
        <f t="shared" si="131"/>
        <v>0.2772</v>
      </c>
      <c r="R269" s="18">
        <f t="shared" si="132"/>
        <v>0.0048</v>
      </c>
      <c r="S269" s="17"/>
      <c r="T269" s="18">
        <f t="shared" si="133"/>
        <v>0.5617</v>
      </c>
      <c r="U269" s="46">
        <f t="shared" si="134"/>
        <v>0.3524</v>
      </c>
      <c r="V269" s="50" t="s">
        <v>128</v>
      </c>
      <c r="W269" s="50" t="s">
        <v>144</v>
      </c>
      <c r="X269" s="50"/>
      <c r="Y269" s="50"/>
      <c r="Z269" s="18"/>
      <c r="AA269" s="18">
        <f t="shared" si="135"/>
        <v>0</v>
      </c>
      <c r="AB269" s="18">
        <f t="shared" si="136"/>
        <v>0.3524</v>
      </c>
      <c r="AC269" s="37">
        <f>SUM(U269*0.7)</f>
        <v>0.24667999999999998</v>
      </c>
      <c r="AD269" s="62">
        <f t="shared" si="142"/>
        <v>0.24667999999999998</v>
      </c>
      <c r="AE269" s="58">
        <f>SUM(AD269*0.7)</f>
        <v>0.17267599999999997</v>
      </c>
      <c r="AF269" s="17">
        <v>1</v>
      </c>
    </row>
    <row r="270" spans="1:32" ht="12.75">
      <c r="A270" s="16" t="s">
        <v>77</v>
      </c>
      <c r="B270" s="16" t="s">
        <v>156</v>
      </c>
      <c r="C270" s="17" t="s">
        <v>139</v>
      </c>
      <c r="D270" s="18">
        <v>3</v>
      </c>
      <c r="E270" s="46">
        <v>1.62</v>
      </c>
      <c r="F270" s="17" t="s">
        <v>128</v>
      </c>
      <c r="G270" s="17" t="s">
        <v>127</v>
      </c>
      <c r="H270" s="18">
        <v>0</v>
      </c>
      <c r="I270" s="17"/>
      <c r="J270" s="18">
        <v>3</v>
      </c>
      <c r="K270" s="37">
        <v>0.75</v>
      </c>
      <c r="L270" s="18">
        <f t="shared" si="129"/>
        <v>3</v>
      </c>
      <c r="M270" s="47">
        <f t="shared" si="141"/>
        <v>0.8700000000000001</v>
      </c>
      <c r="N270" s="17" t="s">
        <v>114</v>
      </c>
      <c r="O270" s="131">
        <v>23900</v>
      </c>
      <c r="P270" s="18">
        <f t="shared" si="130"/>
        <v>2.5095</v>
      </c>
      <c r="Q270" s="18">
        <f t="shared" si="131"/>
        <v>2.0076</v>
      </c>
      <c r="R270" s="18">
        <f t="shared" si="132"/>
        <v>0.09720000000000001</v>
      </c>
      <c r="S270" s="17"/>
      <c r="T270" s="18">
        <f t="shared" si="133"/>
        <v>5.4123</v>
      </c>
      <c r="U270" s="46">
        <f t="shared" si="134"/>
        <v>3.5304</v>
      </c>
      <c r="V270" s="50" t="s">
        <v>131</v>
      </c>
      <c r="W270" s="50" t="s">
        <v>144</v>
      </c>
      <c r="X270" s="50">
        <f>SUM(U270)</f>
        <v>3.5304</v>
      </c>
      <c r="Y270" s="50"/>
      <c r="Z270" s="18"/>
      <c r="AA270" s="18">
        <f t="shared" si="135"/>
        <v>0.75</v>
      </c>
      <c r="AB270" s="18">
        <f t="shared" si="136"/>
        <v>3.5304</v>
      </c>
      <c r="AC270" s="37">
        <f>SUM(U270*1)</f>
        <v>3.5304</v>
      </c>
      <c r="AD270" s="62">
        <f t="shared" si="142"/>
        <v>2.7804</v>
      </c>
      <c r="AE270" s="58">
        <f>SUM(AD270*0.7)</f>
        <v>1.94628</v>
      </c>
      <c r="AF270" s="17" t="s">
        <v>417</v>
      </c>
    </row>
    <row r="271" spans="1:32" ht="25.5">
      <c r="A271" s="16" t="s">
        <v>258</v>
      </c>
      <c r="B271" s="16" t="s">
        <v>156</v>
      </c>
      <c r="C271" s="17" t="s">
        <v>320</v>
      </c>
      <c r="D271" s="18">
        <v>1.5</v>
      </c>
      <c r="E271" s="46">
        <v>0.77</v>
      </c>
      <c r="F271" s="17" t="s">
        <v>128</v>
      </c>
      <c r="G271" s="17" t="s">
        <v>127</v>
      </c>
      <c r="H271" s="18">
        <v>0</v>
      </c>
      <c r="I271" s="17"/>
      <c r="J271" s="18">
        <v>1.32</v>
      </c>
      <c r="K271" s="37">
        <v>0.52</v>
      </c>
      <c r="L271" s="18">
        <f t="shared" si="129"/>
        <v>1.5</v>
      </c>
      <c r="M271" s="47">
        <f t="shared" si="141"/>
        <v>0.25</v>
      </c>
      <c r="N271" s="17" t="s">
        <v>346</v>
      </c>
      <c r="O271" s="131">
        <v>24200</v>
      </c>
      <c r="P271" s="18">
        <f t="shared" si="130"/>
        <v>2.541</v>
      </c>
      <c r="Q271" s="18">
        <f t="shared" si="131"/>
        <v>2.0328</v>
      </c>
      <c r="R271" s="18">
        <f t="shared" si="132"/>
        <v>0.0462</v>
      </c>
      <c r="S271" s="17"/>
      <c r="T271" s="18">
        <f t="shared" si="133"/>
        <v>3.9948000000000006</v>
      </c>
      <c r="U271" s="46">
        <f t="shared" si="134"/>
        <v>2.7566</v>
      </c>
      <c r="V271" s="50" t="s">
        <v>131</v>
      </c>
      <c r="W271" s="50" t="s">
        <v>144</v>
      </c>
      <c r="X271" s="50">
        <f>SUM(U271)</f>
        <v>2.7566</v>
      </c>
      <c r="Y271" s="50"/>
      <c r="Z271" s="18"/>
      <c r="AA271" s="18">
        <f t="shared" si="135"/>
        <v>0.52</v>
      </c>
      <c r="AB271" s="18">
        <f t="shared" si="136"/>
        <v>2.7566</v>
      </c>
      <c r="AC271" s="37">
        <f>SUM(U271*0.7)</f>
        <v>1.92962</v>
      </c>
      <c r="AD271" s="62">
        <f t="shared" si="142"/>
        <v>1.4096199999999999</v>
      </c>
      <c r="AE271" s="58">
        <f>SUM(AD271*0.7)</f>
        <v>0.9867339999999999</v>
      </c>
      <c r="AF271" s="17" t="s">
        <v>389</v>
      </c>
    </row>
    <row r="272" spans="1:32" ht="12.75">
      <c r="A272" s="16" t="s">
        <v>260</v>
      </c>
      <c r="B272" s="16" t="s">
        <v>156</v>
      </c>
      <c r="C272" s="17" t="s">
        <v>139</v>
      </c>
      <c r="D272" s="18">
        <v>1</v>
      </c>
      <c r="E272" s="46">
        <v>0.3</v>
      </c>
      <c r="F272" s="17" t="s">
        <v>169</v>
      </c>
      <c r="G272" s="17" t="s">
        <v>129</v>
      </c>
      <c r="H272" s="18">
        <v>0</v>
      </c>
      <c r="I272" s="17"/>
      <c r="J272" s="18">
        <v>0</v>
      </c>
      <c r="K272" s="37">
        <v>0</v>
      </c>
      <c r="L272" s="18">
        <f t="shared" si="129"/>
        <v>1</v>
      </c>
      <c r="M272" s="47">
        <f t="shared" si="141"/>
        <v>0.3</v>
      </c>
      <c r="N272" s="17"/>
      <c r="O272" s="131">
        <v>1400</v>
      </c>
      <c r="P272" s="18">
        <f t="shared" si="130"/>
        <v>0.147</v>
      </c>
      <c r="Q272" s="18">
        <f t="shared" si="131"/>
        <v>0.1176</v>
      </c>
      <c r="R272" s="18">
        <f t="shared" si="132"/>
        <v>0.018</v>
      </c>
      <c r="S272" s="17"/>
      <c r="T272" s="18">
        <f t="shared" si="133"/>
        <v>1.129</v>
      </c>
      <c r="U272" s="46">
        <f t="shared" si="134"/>
        <v>0.39959999999999996</v>
      </c>
      <c r="V272" s="50" t="s">
        <v>128</v>
      </c>
      <c r="W272" s="50" t="s">
        <v>144</v>
      </c>
      <c r="X272" s="50"/>
      <c r="Y272" s="50"/>
      <c r="Z272" s="18"/>
      <c r="AA272" s="18">
        <f t="shared" si="135"/>
        <v>0</v>
      </c>
      <c r="AB272" s="18">
        <f t="shared" si="136"/>
        <v>0.39959999999999996</v>
      </c>
      <c r="AC272" s="37">
        <f>SUM(U272*0.7)</f>
        <v>0.27971999999999997</v>
      </c>
      <c r="AD272" s="62">
        <f t="shared" si="142"/>
        <v>0.27971999999999997</v>
      </c>
      <c r="AE272" s="58">
        <f>SUM(AD272*0.7)</f>
        <v>0.19580399999999998</v>
      </c>
      <c r="AF272" s="17" t="s">
        <v>266</v>
      </c>
    </row>
    <row r="273" spans="1:32" ht="12.75">
      <c r="A273" s="16" t="s">
        <v>259</v>
      </c>
      <c r="B273" s="16" t="s">
        <v>156</v>
      </c>
      <c r="C273" s="17" t="s">
        <v>320</v>
      </c>
      <c r="D273" s="18">
        <v>0.45</v>
      </c>
      <c r="E273" s="46">
        <v>0.28</v>
      </c>
      <c r="F273" s="17" t="s">
        <v>169</v>
      </c>
      <c r="G273" s="17" t="s">
        <v>129</v>
      </c>
      <c r="H273" s="18">
        <v>0</v>
      </c>
      <c r="I273" s="17"/>
      <c r="J273" s="18">
        <v>0</v>
      </c>
      <c r="K273" s="37">
        <v>0</v>
      </c>
      <c r="L273" s="18">
        <f t="shared" si="129"/>
        <v>0.45</v>
      </c>
      <c r="M273" s="47">
        <f t="shared" si="141"/>
        <v>0.28</v>
      </c>
      <c r="N273" s="17"/>
      <c r="O273" s="131">
        <v>200</v>
      </c>
      <c r="P273" s="18">
        <f t="shared" si="130"/>
        <v>0.021</v>
      </c>
      <c r="Q273" s="18">
        <f t="shared" si="131"/>
        <v>0.0168</v>
      </c>
      <c r="R273" s="18">
        <f t="shared" si="132"/>
        <v>0.016800000000000002</v>
      </c>
      <c r="S273" s="17"/>
      <c r="T273" s="18">
        <f t="shared" si="133"/>
        <v>0.45420000000000005</v>
      </c>
      <c r="U273" s="46">
        <f t="shared" si="134"/>
        <v>0.28</v>
      </c>
      <c r="V273" s="50" t="s">
        <v>128</v>
      </c>
      <c r="W273" s="50" t="s">
        <v>144</v>
      </c>
      <c r="X273" s="50"/>
      <c r="Y273" s="50"/>
      <c r="Z273" s="18"/>
      <c r="AA273" s="18">
        <f t="shared" si="135"/>
        <v>0</v>
      </c>
      <c r="AB273" s="18">
        <f t="shared" si="136"/>
        <v>0.28</v>
      </c>
      <c r="AC273" s="37">
        <f>SUM(U273*0.7)</f>
        <v>0.196</v>
      </c>
      <c r="AD273" s="62">
        <f t="shared" si="142"/>
        <v>0.196</v>
      </c>
      <c r="AE273" s="58">
        <f>SUM(AD273*0.7)</f>
        <v>0.1372</v>
      </c>
      <c r="AF273" s="17" t="s">
        <v>268</v>
      </c>
    </row>
    <row r="274" spans="1:32" ht="25.5">
      <c r="A274" s="16" t="s">
        <v>78</v>
      </c>
      <c r="B274" s="16" t="s">
        <v>156</v>
      </c>
      <c r="C274" s="17" t="s">
        <v>139</v>
      </c>
      <c r="D274" s="18">
        <v>3</v>
      </c>
      <c r="E274" s="46">
        <v>1.61</v>
      </c>
      <c r="F274" s="17" t="s">
        <v>128</v>
      </c>
      <c r="G274" s="17" t="s">
        <v>127</v>
      </c>
      <c r="H274" s="18">
        <v>0</v>
      </c>
      <c r="I274" s="17"/>
      <c r="J274" s="18">
        <v>2</v>
      </c>
      <c r="K274" s="37">
        <v>0.87</v>
      </c>
      <c r="L274" s="18">
        <f t="shared" si="129"/>
        <v>3</v>
      </c>
      <c r="M274" s="47">
        <f t="shared" si="141"/>
        <v>0.7400000000000001</v>
      </c>
      <c r="N274" s="17" t="s">
        <v>109</v>
      </c>
      <c r="O274" s="131">
        <v>24400</v>
      </c>
      <c r="P274" s="18">
        <f t="shared" si="130"/>
        <v>2.562</v>
      </c>
      <c r="Q274" s="18">
        <f t="shared" si="131"/>
        <v>2.0496</v>
      </c>
      <c r="R274" s="18">
        <f t="shared" si="132"/>
        <v>0.0966</v>
      </c>
      <c r="S274" s="17"/>
      <c r="T274" s="18">
        <f t="shared" si="133"/>
        <v>5.4654</v>
      </c>
      <c r="U274" s="46">
        <f t="shared" si="134"/>
        <v>3.563</v>
      </c>
      <c r="V274" s="50" t="s">
        <v>131</v>
      </c>
      <c r="W274" s="50" t="s">
        <v>144</v>
      </c>
      <c r="X274" s="50">
        <f>SUM(U274)</f>
        <v>3.563</v>
      </c>
      <c r="Y274" s="50"/>
      <c r="Z274" s="18">
        <v>2</v>
      </c>
      <c r="AA274" s="18">
        <f t="shared" si="135"/>
        <v>2.87</v>
      </c>
      <c r="AB274" s="18">
        <f t="shared" si="136"/>
        <v>3.563</v>
      </c>
      <c r="AC274" s="37">
        <f>SUM(U274*1)</f>
        <v>3.563</v>
      </c>
      <c r="AD274" s="62">
        <f t="shared" si="142"/>
        <v>2.693</v>
      </c>
      <c r="AE274" s="58">
        <f>SUM(AD274*0.85)</f>
        <v>2.28905</v>
      </c>
      <c r="AF274" s="17" t="s">
        <v>390</v>
      </c>
    </row>
    <row r="275" spans="1:32" ht="12.75">
      <c r="A275" s="16" t="s">
        <v>321</v>
      </c>
      <c r="B275" s="16" t="s">
        <v>156</v>
      </c>
      <c r="C275" s="17" t="s">
        <v>139</v>
      </c>
      <c r="D275" s="18">
        <v>1.1</v>
      </c>
      <c r="E275" s="46">
        <v>0.65</v>
      </c>
      <c r="F275" s="17" t="s">
        <v>169</v>
      </c>
      <c r="G275" s="17" t="s">
        <v>129</v>
      </c>
      <c r="H275" s="18">
        <v>0</v>
      </c>
      <c r="I275" s="17"/>
      <c r="J275" s="18">
        <v>0</v>
      </c>
      <c r="K275" s="37">
        <v>0</v>
      </c>
      <c r="L275" s="18">
        <f t="shared" si="129"/>
        <v>1.1</v>
      </c>
      <c r="M275" s="47">
        <f t="shared" si="141"/>
        <v>0.65</v>
      </c>
      <c r="N275" s="17"/>
      <c r="O275" s="131">
        <v>5000</v>
      </c>
      <c r="P275" s="18">
        <f t="shared" si="130"/>
        <v>0.525</v>
      </c>
      <c r="Q275" s="18">
        <f t="shared" si="131"/>
        <v>0.42</v>
      </c>
      <c r="R275" s="18">
        <f t="shared" si="132"/>
        <v>0.039</v>
      </c>
      <c r="S275" s="17"/>
      <c r="T275" s="18">
        <f t="shared" si="133"/>
        <v>1.586</v>
      </c>
      <c r="U275" s="46">
        <f t="shared" si="134"/>
        <v>1.0310000000000001</v>
      </c>
      <c r="V275" s="50" t="s">
        <v>128</v>
      </c>
      <c r="W275" s="50" t="s">
        <v>144</v>
      </c>
      <c r="X275" s="50"/>
      <c r="Y275" s="50"/>
      <c r="Z275" s="18"/>
      <c r="AA275" s="18"/>
      <c r="AB275" s="18">
        <f t="shared" si="136"/>
        <v>1.0310000000000001</v>
      </c>
      <c r="AC275" s="37">
        <f aca="true" t="shared" si="143" ref="AC275:AC280">SUM(U275*0.7)</f>
        <v>0.7217</v>
      </c>
      <c r="AD275" s="62">
        <f t="shared" si="142"/>
        <v>0.7217</v>
      </c>
      <c r="AE275" s="58">
        <f aca="true" t="shared" si="144" ref="AE275:AE280">SUM(AD275*0.7)</f>
        <v>0.50519</v>
      </c>
      <c r="AF275" s="17">
        <v>1</v>
      </c>
    </row>
    <row r="276" spans="1:32" ht="12.75">
      <c r="A276" s="16" t="s">
        <v>322</v>
      </c>
      <c r="B276" s="16" t="s">
        <v>156</v>
      </c>
      <c r="C276" s="17" t="s">
        <v>139</v>
      </c>
      <c r="D276" s="18">
        <v>0.13</v>
      </c>
      <c r="E276" s="46">
        <v>0.02</v>
      </c>
      <c r="F276" s="17" t="s">
        <v>128</v>
      </c>
      <c r="G276" s="17" t="s">
        <v>129</v>
      </c>
      <c r="H276" s="18">
        <v>0</v>
      </c>
      <c r="I276" s="17"/>
      <c r="J276" s="18">
        <v>0</v>
      </c>
      <c r="K276" s="37">
        <v>0</v>
      </c>
      <c r="L276" s="18">
        <f t="shared" si="129"/>
        <v>0.13</v>
      </c>
      <c r="M276" s="47">
        <f t="shared" si="141"/>
        <v>0.02</v>
      </c>
      <c r="N276" s="17"/>
      <c r="O276" s="131">
        <v>12000</v>
      </c>
      <c r="P276" s="18">
        <f t="shared" si="130"/>
        <v>1.26</v>
      </c>
      <c r="Q276" s="18">
        <f t="shared" si="131"/>
        <v>1.008</v>
      </c>
      <c r="R276" s="18">
        <f t="shared" si="132"/>
        <v>0.0012</v>
      </c>
      <c r="S276" s="17"/>
      <c r="T276" s="18">
        <f t="shared" si="133"/>
        <v>1.3888</v>
      </c>
      <c r="U276" s="46">
        <f t="shared" si="134"/>
        <v>1.0268</v>
      </c>
      <c r="V276" s="50" t="s">
        <v>128</v>
      </c>
      <c r="W276" s="50" t="s">
        <v>144</v>
      </c>
      <c r="X276" s="50"/>
      <c r="Y276" s="50"/>
      <c r="Z276" s="18"/>
      <c r="AA276" s="18">
        <f aca="true" t="shared" si="145" ref="AA276:AA282">K276+Z276</f>
        <v>0</v>
      </c>
      <c r="AB276" s="18">
        <f t="shared" si="136"/>
        <v>1.0268</v>
      </c>
      <c r="AC276" s="37">
        <f t="shared" si="143"/>
        <v>0.71876</v>
      </c>
      <c r="AD276" s="62">
        <f t="shared" si="142"/>
        <v>0.71876</v>
      </c>
      <c r="AE276" s="58">
        <f t="shared" si="144"/>
        <v>0.5031319999999999</v>
      </c>
      <c r="AF276" s="17">
        <v>1</v>
      </c>
    </row>
    <row r="277" spans="1:32" ht="12.75">
      <c r="A277" s="16" t="s">
        <v>79</v>
      </c>
      <c r="B277" s="16" t="s">
        <v>156</v>
      </c>
      <c r="C277" s="17" t="s">
        <v>320</v>
      </c>
      <c r="D277" s="18">
        <v>0.31</v>
      </c>
      <c r="E277" s="46">
        <v>0.18</v>
      </c>
      <c r="F277" s="17" t="s">
        <v>169</v>
      </c>
      <c r="G277" s="17" t="s">
        <v>129</v>
      </c>
      <c r="H277" s="18">
        <v>0</v>
      </c>
      <c r="I277" s="17"/>
      <c r="J277" s="18">
        <v>0</v>
      </c>
      <c r="K277" s="37">
        <v>0</v>
      </c>
      <c r="L277" s="18">
        <f t="shared" si="129"/>
        <v>0.31</v>
      </c>
      <c r="M277" s="47">
        <f t="shared" si="141"/>
        <v>0.18</v>
      </c>
      <c r="N277" s="17"/>
      <c r="O277" s="131">
        <v>100</v>
      </c>
      <c r="P277" s="18">
        <f t="shared" si="130"/>
        <v>0.0105</v>
      </c>
      <c r="Q277" s="18">
        <f t="shared" si="131"/>
        <v>0.0084</v>
      </c>
      <c r="R277" s="18">
        <f t="shared" si="132"/>
        <v>0.010799999999999999</v>
      </c>
      <c r="S277" s="17"/>
      <c r="T277" s="18">
        <f t="shared" si="133"/>
        <v>0.30970000000000003</v>
      </c>
      <c r="U277" s="46">
        <f t="shared" si="134"/>
        <v>0.17759999999999998</v>
      </c>
      <c r="V277" s="50" t="s">
        <v>128</v>
      </c>
      <c r="W277" s="50" t="s">
        <v>144</v>
      </c>
      <c r="X277" s="50"/>
      <c r="Y277" s="50"/>
      <c r="Z277" s="18"/>
      <c r="AA277" s="18">
        <f t="shared" si="145"/>
        <v>0</v>
      </c>
      <c r="AB277" s="18">
        <f t="shared" si="136"/>
        <v>0.17759999999999998</v>
      </c>
      <c r="AC277" s="37">
        <f t="shared" si="143"/>
        <v>0.12431999999999997</v>
      </c>
      <c r="AD277" s="62">
        <f t="shared" si="142"/>
        <v>0.12431999999999997</v>
      </c>
      <c r="AE277" s="58">
        <f t="shared" si="144"/>
        <v>0.08702399999999998</v>
      </c>
      <c r="AF277" s="17">
        <v>1</v>
      </c>
    </row>
    <row r="278" spans="1:32" ht="12.75">
      <c r="A278" s="16" t="s">
        <v>319</v>
      </c>
      <c r="B278" s="16" t="s">
        <v>156</v>
      </c>
      <c r="C278" s="17" t="s">
        <v>320</v>
      </c>
      <c r="D278" s="18">
        <v>0.1</v>
      </c>
      <c r="E278" s="46">
        <v>0.08</v>
      </c>
      <c r="F278" s="17" t="s">
        <v>169</v>
      </c>
      <c r="G278" s="17" t="s">
        <v>129</v>
      </c>
      <c r="H278" s="18">
        <v>0</v>
      </c>
      <c r="I278" s="17"/>
      <c r="J278" s="18">
        <v>0</v>
      </c>
      <c r="K278" s="37">
        <v>0</v>
      </c>
      <c r="L278" s="18">
        <f t="shared" si="129"/>
        <v>0.1</v>
      </c>
      <c r="M278" s="47">
        <f t="shared" si="141"/>
        <v>0.08</v>
      </c>
      <c r="N278" s="17"/>
      <c r="O278" s="131">
        <v>100</v>
      </c>
      <c r="P278" s="18">
        <f t="shared" si="130"/>
        <v>0.0105</v>
      </c>
      <c r="Q278" s="18">
        <f t="shared" si="131"/>
        <v>0.0084</v>
      </c>
      <c r="R278" s="18">
        <f t="shared" si="132"/>
        <v>0.0048</v>
      </c>
      <c r="S278" s="17"/>
      <c r="T278" s="18">
        <f t="shared" si="133"/>
        <v>0.1057</v>
      </c>
      <c r="U278" s="46">
        <f t="shared" si="134"/>
        <v>0.08360000000000001</v>
      </c>
      <c r="V278" s="50" t="s">
        <v>128</v>
      </c>
      <c r="W278" s="50"/>
      <c r="X278" s="50"/>
      <c r="Y278" s="50"/>
      <c r="Z278" s="18"/>
      <c r="AA278" s="18">
        <f t="shared" si="145"/>
        <v>0</v>
      </c>
      <c r="AB278" s="18">
        <f t="shared" si="136"/>
        <v>0.08360000000000001</v>
      </c>
      <c r="AC278" s="37">
        <f t="shared" si="143"/>
        <v>0.05852</v>
      </c>
      <c r="AD278" s="62">
        <f t="shared" si="142"/>
        <v>0.05852</v>
      </c>
      <c r="AE278" s="58">
        <f t="shared" si="144"/>
        <v>0.040964</v>
      </c>
      <c r="AF278" s="17" t="s">
        <v>409</v>
      </c>
    </row>
    <row r="279" spans="1:32" ht="12.75">
      <c r="A279" s="16" t="s">
        <v>80</v>
      </c>
      <c r="B279" s="16" t="s">
        <v>156</v>
      </c>
      <c r="C279" s="17" t="s">
        <v>139</v>
      </c>
      <c r="D279" s="18">
        <v>0.18</v>
      </c>
      <c r="E279" s="46">
        <v>0.11</v>
      </c>
      <c r="F279" s="17" t="s">
        <v>128</v>
      </c>
      <c r="G279" s="17" t="s">
        <v>129</v>
      </c>
      <c r="H279" s="18">
        <v>0</v>
      </c>
      <c r="I279" s="17"/>
      <c r="J279" s="18">
        <v>0</v>
      </c>
      <c r="K279" s="37">
        <v>0</v>
      </c>
      <c r="L279" s="18">
        <f t="shared" si="129"/>
        <v>0.18</v>
      </c>
      <c r="M279" s="47">
        <f t="shared" si="141"/>
        <v>0.11</v>
      </c>
      <c r="N279" s="17"/>
      <c r="O279" s="131">
        <v>100</v>
      </c>
      <c r="P279" s="18">
        <f t="shared" si="130"/>
        <v>0.0105</v>
      </c>
      <c r="Q279" s="18">
        <f t="shared" si="131"/>
        <v>0.0084</v>
      </c>
      <c r="R279" s="18">
        <f t="shared" si="132"/>
        <v>0.0066</v>
      </c>
      <c r="S279" s="17"/>
      <c r="T279" s="18">
        <f t="shared" si="133"/>
        <v>0.1839</v>
      </c>
      <c r="U279" s="46">
        <f t="shared" si="134"/>
        <v>0.11180000000000001</v>
      </c>
      <c r="V279" s="50" t="s">
        <v>128</v>
      </c>
      <c r="W279" s="50" t="s">
        <v>144</v>
      </c>
      <c r="X279" s="50"/>
      <c r="Y279" s="50"/>
      <c r="Z279" s="18"/>
      <c r="AA279" s="18">
        <f t="shared" si="145"/>
        <v>0</v>
      </c>
      <c r="AB279" s="18">
        <f t="shared" si="136"/>
        <v>0.11180000000000001</v>
      </c>
      <c r="AC279" s="37">
        <f t="shared" si="143"/>
        <v>0.07826</v>
      </c>
      <c r="AD279" s="62">
        <f t="shared" si="142"/>
        <v>0.07826</v>
      </c>
      <c r="AE279" s="58">
        <f t="shared" si="144"/>
        <v>0.05478199999999999</v>
      </c>
      <c r="AF279" s="17" t="s">
        <v>105</v>
      </c>
    </row>
    <row r="280" spans="1:32" ht="12.75">
      <c r="A280" s="16" t="s">
        <v>81</v>
      </c>
      <c r="B280" s="16" t="s">
        <v>156</v>
      </c>
      <c r="C280" s="17" t="s">
        <v>139</v>
      </c>
      <c r="D280" s="18">
        <v>0.14</v>
      </c>
      <c r="E280" s="46">
        <v>0.04</v>
      </c>
      <c r="F280" s="17" t="s">
        <v>169</v>
      </c>
      <c r="G280" s="17" t="s">
        <v>129</v>
      </c>
      <c r="H280" s="18">
        <v>0</v>
      </c>
      <c r="I280" s="17"/>
      <c r="J280" s="18">
        <v>0</v>
      </c>
      <c r="K280" s="37">
        <v>0</v>
      </c>
      <c r="L280" s="18">
        <f t="shared" si="129"/>
        <v>0.14</v>
      </c>
      <c r="M280" s="47">
        <f t="shared" si="141"/>
        <v>0.04</v>
      </c>
      <c r="N280" s="17"/>
      <c r="O280" s="131">
        <v>0</v>
      </c>
      <c r="P280" s="18">
        <f t="shared" si="130"/>
        <v>0</v>
      </c>
      <c r="Q280" s="18">
        <f t="shared" si="131"/>
        <v>0</v>
      </c>
      <c r="R280" s="18">
        <f t="shared" si="132"/>
        <v>0.0024</v>
      </c>
      <c r="S280" s="17"/>
      <c r="T280" s="18">
        <f t="shared" si="133"/>
        <v>0.1376</v>
      </c>
      <c r="U280" s="46">
        <f t="shared" si="134"/>
        <v>0.0376</v>
      </c>
      <c r="V280" s="50" t="s">
        <v>128</v>
      </c>
      <c r="W280" s="50" t="s">
        <v>144</v>
      </c>
      <c r="X280" s="50"/>
      <c r="Y280" s="50"/>
      <c r="Z280" s="18"/>
      <c r="AA280" s="18">
        <f t="shared" si="145"/>
        <v>0</v>
      </c>
      <c r="AB280" s="18">
        <f t="shared" si="136"/>
        <v>0.0376</v>
      </c>
      <c r="AC280" s="37">
        <f t="shared" si="143"/>
        <v>0.02632</v>
      </c>
      <c r="AD280" s="62">
        <f t="shared" si="142"/>
        <v>0.02632</v>
      </c>
      <c r="AE280" s="58">
        <f t="shared" si="144"/>
        <v>0.018424</v>
      </c>
      <c r="AF280" s="17" t="s">
        <v>105</v>
      </c>
    </row>
    <row r="281" spans="1:32" ht="25.5">
      <c r="A281" s="16" t="s">
        <v>82</v>
      </c>
      <c r="B281" s="16" t="s">
        <v>156</v>
      </c>
      <c r="C281" s="17" t="s">
        <v>139</v>
      </c>
      <c r="D281" s="18">
        <v>1.7</v>
      </c>
      <c r="E281" s="46">
        <v>0.98</v>
      </c>
      <c r="F281" s="17" t="s">
        <v>128</v>
      </c>
      <c r="G281" s="17" t="s">
        <v>127</v>
      </c>
      <c r="H281" s="18">
        <v>0</v>
      </c>
      <c r="I281" s="17"/>
      <c r="J281" s="18">
        <v>2</v>
      </c>
      <c r="K281" s="37">
        <v>0.76</v>
      </c>
      <c r="L281" s="18">
        <f t="shared" si="129"/>
        <v>1.7</v>
      </c>
      <c r="M281" s="47">
        <f t="shared" si="141"/>
        <v>0.21999999999999997</v>
      </c>
      <c r="N281" s="17" t="s">
        <v>121</v>
      </c>
      <c r="O281" s="131">
        <v>13800</v>
      </c>
      <c r="P281" s="18">
        <f t="shared" si="130"/>
        <v>1.449</v>
      </c>
      <c r="Q281" s="18">
        <f t="shared" si="131"/>
        <v>1.1592</v>
      </c>
      <c r="R281" s="18">
        <f t="shared" si="132"/>
        <v>0.0588</v>
      </c>
      <c r="S281" s="17"/>
      <c r="T281" s="18">
        <f t="shared" si="133"/>
        <v>3.0902</v>
      </c>
      <c r="U281" s="46">
        <f t="shared" si="134"/>
        <v>2.0803999999999996</v>
      </c>
      <c r="V281" s="50" t="s">
        <v>131</v>
      </c>
      <c r="W281" s="50" t="s">
        <v>144</v>
      </c>
      <c r="X281" s="50">
        <f>SUM(U281)</f>
        <v>2.0803999999999996</v>
      </c>
      <c r="Y281" s="50"/>
      <c r="Z281" s="18"/>
      <c r="AA281" s="18">
        <f t="shared" si="145"/>
        <v>0.76</v>
      </c>
      <c r="AB281" s="18">
        <f t="shared" si="136"/>
        <v>2.0803999999999996</v>
      </c>
      <c r="AC281" s="37">
        <f>SUM(U281*1)</f>
        <v>2.0803999999999996</v>
      </c>
      <c r="AD281" s="62">
        <f t="shared" si="142"/>
        <v>1.3203999999999996</v>
      </c>
      <c r="AE281" s="58">
        <f>SUM(AD281*0.85)</f>
        <v>1.1223399999999997</v>
      </c>
      <c r="AF281" s="17">
        <v>1</v>
      </c>
    </row>
    <row r="282" spans="1:32" ht="25.5">
      <c r="A282" s="16" t="s">
        <v>261</v>
      </c>
      <c r="B282" s="16" t="s">
        <v>156</v>
      </c>
      <c r="C282" s="17" t="s">
        <v>139</v>
      </c>
      <c r="D282" s="18">
        <v>7.5</v>
      </c>
      <c r="E282" s="46">
        <v>3.66</v>
      </c>
      <c r="F282" s="17" t="s">
        <v>131</v>
      </c>
      <c r="G282" s="17" t="s">
        <v>127</v>
      </c>
      <c r="H282" s="18">
        <v>3.66</v>
      </c>
      <c r="I282" s="17"/>
      <c r="J282" s="18">
        <v>0</v>
      </c>
      <c r="K282" s="37">
        <v>0</v>
      </c>
      <c r="L282" s="18">
        <f>SUM(D282)</f>
        <v>7.5</v>
      </c>
      <c r="M282" s="47">
        <f t="shared" si="141"/>
        <v>3.66</v>
      </c>
      <c r="N282" s="17"/>
      <c r="O282" s="131">
        <v>15700</v>
      </c>
      <c r="P282" s="18">
        <f t="shared" si="130"/>
        <v>1.6485</v>
      </c>
      <c r="Q282" s="18">
        <f t="shared" si="131"/>
        <v>1.3188</v>
      </c>
      <c r="R282" s="18">
        <f t="shared" si="132"/>
        <v>0.2196</v>
      </c>
      <c r="S282" s="17"/>
      <c r="T282" s="18">
        <f t="shared" si="133"/>
        <v>8.9289</v>
      </c>
      <c r="U282" s="46">
        <f t="shared" si="134"/>
        <v>4.7592</v>
      </c>
      <c r="V282" s="50" t="s">
        <v>131</v>
      </c>
      <c r="W282" s="50" t="s">
        <v>144</v>
      </c>
      <c r="X282" s="50">
        <f>SUM(U282)</f>
        <v>4.7592</v>
      </c>
      <c r="Y282" s="50"/>
      <c r="Z282" s="17">
        <v>0.3</v>
      </c>
      <c r="AA282" s="18">
        <f t="shared" si="145"/>
        <v>0.3</v>
      </c>
      <c r="AB282" s="18">
        <f t="shared" si="136"/>
        <v>4.7592</v>
      </c>
      <c r="AC282" s="37">
        <f>SUM(U282*1)</f>
        <v>4.7592</v>
      </c>
      <c r="AD282" s="62">
        <f t="shared" si="142"/>
        <v>4.7592</v>
      </c>
      <c r="AE282" s="58">
        <f>SUM(AD282*0.85)</f>
        <v>4.045319999999999</v>
      </c>
      <c r="AF282" s="17" t="s">
        <v>391</v>
      </c>
    </row>
    <row r="283" spans="1:32" ht="15">
      <c r="A283" s="14" t="s">
        <v>83</v>
      </c>
      <c r="B283" s="14"/>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52"/>
      <c r="AB283" s="15"/>
      <c r="AC283" s="15"/>
      <c r="AD283" s="15"/>
      <c r="AE283" s="15"/>
      <c r="AF283" s="15"/>
    </row>
    <row r="284" spans="1:32" ht="15">
      <c r="A284" s="16" t="s">
        <v>13</v>
      </c>
      <c r="B284" s="16"/>
      <c r="C284" s="17">
        <v>29</v>
      </c>
      <c r="D284" s="18">
        <f>SUM(D254:D282)</f>
        <v>57.750000000000014</v>
      </c>
      <c r="E284" s="46">
        <f>SUM(E254:E282)</f>
        <v>29.429999999999993</v>
      </c>
      <c r="F284" s="17"/>
      <c r="G284" s="17"/>
      <c r="H284" s="18">
        <f>SUM(H254:H282)</f>
        <v>15.49</v>
      </c>
      <c r="I284" s="17"/>
      <c r="J284" s="18">
        <f>SUM(J254:J282)</f>
        <v>25.07</v>
      </c>
      <c r="K284" s="37">
        <f>SUM(K254:K282)</f>
        <v>11.2</v>
      </c>
      <c r="L284" s="18">
        <f>SUM(L254:L282)</f>
        <v>57.750000000000014</v>
      </c>
      <c r="M284" s="47">
        <f>SUM(M254:M282)</f>
        <v>20.609999999999996</v>
      </c>
      <c r="N284" s="17"/>
      <c r="O284" s="131">
        <f aca="true" t="shared" si="146" ref="O284:U284">SUM(O254:O282)</f>
        <v>239699</v>
      </c>
      <c r="P284" s="18">
        <f t="shared" si="146"/>
        <v>25.168395000000004</v>
      </c>
      <c r="Q284" s="18">
        <f t="shared" si="146"/>
        <v>20.134716000000004</v>
      </c>
      <c r="R284" s="18">
        <f t="shared" si="146"/>
        <v>1.7657999999999996</v>
      </c>
      <c r="S284" s="18">
        <f t="shared" si="146"/>
        <v>0</v>
      </c>
      <c r="T284" s="18">
        <f t="shared" si="146"/>
        <v>81.152595</v>
      </c>
      <c r="U284" s="46">
        <f t="shared" si="146"/>
        <v>47.798916</v>
      </c>
      <c r="V284" s="43"/>
      <c r="W284" s="43"/>
      <c r="X284" s="43"/>
      <c r="Y284" s="43"/>
      <c r="Z284" s="18">
        <f aca="true" t="shared" si="147" ref="Z284:AE284">SUM(Z254:Z282)</f>
        <v>11.9</v>
      </c>
      <c r="AA284" s="18">
        <f t="shared" si="147"/>
        <v>23.1</v>
      </c>
      <c r="AB284" s="18">
        <f t="shared" si="147"/>
        <v>47.798916</v>
      </c>
      <c r="AC284" s="37">
        <f t="shared" si="147"/>
        <v>43.144921200000006</v>
      </c>
      <c r="AD284" s="62">
        <f t="shared" si="147"/>
        <v>31.944921200000003</v>
      </c>
      <c r="AE284" s="58">
        <f t="shared" si="147"/>
        <v>27.210110839999995</v>
      </c>
      <c r="AF284" s="20"/>
    </row>
    <row r="285" spans="1:32" ht="15.75" thickBot="1">
      <c r="A285" s="22" t="s">
        <v>14</v>
      </c>
      <c r="B285" s="22"/>
      <c r="C285" s="23">
        <v>0</v>
      </c>
      <c r="D285" s="24">
        <v>0</v>
      </c>
      <c r="E285" s="132">
        <v>0</v>
      </c>
      <c r="F285" s="23"/>
      <c r="G285" s="23"/>
      <c r="H285" s="24">
        <v>0</v>
      </c>
      <c r="I285" s="23"/>
      <c r="J285" s="24">
        <v>0</v>
      </c>
      <c r="K285" s="133">
        <v>0</v>
      </c>
      <c r="L285" s="24">
        <v>0</v>
      </c>
      <c r="M285" s="167">
        <v>0</v>
      </c>
      <c r="N285" s="23"/>
      <c r="O285" s="171">
        <v>0</v>
      </c>
      <c r="P285" s="24">
        <v>0</v>
      </c>
      <c r="Q285" s="24">
        <v>0</v>
      </c>
      <c r="R285" s="24">
        <v>0</v>
      </c>
      <c r="S285" s="24">
        <v>0</v>
      </c>
      <c r="T285" s="24">
        <v>0</v>
      </c>
      <c r="U285" s="132">
        <v>0</v>
      </c>
      <c r="V285" s="45"/>
      <c r="W285" s="45"/>
      <c r="X285" s="45"/>
      <c r="Y285" s="45"/>
      <c r="Z285" s="24">
        <v>0</v>
      </c>
      <c r="AA285" s="24">
        <v>0</v>
      </c>
      <c r="AB285" s="24">
        <v>0</v>
      </c>
      <c r="AC285" s="133">
        <v>0</v>
      </c>
      <c r="AD285" s="117">
        <v>0</v>
      </c>
      <c r="AE285" s="59">
        <v>0</v>
      </c>
      <c r="AF285" s="25"/>
    </row>
    <row r="286" spans="1:32" ht="15.75" thickBot="1">
      <c r="A286" s="26" t="s">
        <v>15</v>
      </c>
      <c r="B286" s="65"/>
      <c r="C286" s="98">
        <f>SUM(C284:C285)</f>
        <v>29</v>
      </c>
      <c r="D286" s="28">
        <f>SUM(D284:D285)</f>
        <v>57.750000000000014</v>
      </c>
      <c r="E286" s="134">
        <f>SUM(E284:E285)</f>
        <v>29.429999999999993</v>
      </c>
      <c r="F286" s="30"/>
      <c r="G286" s="30"/>
      <c r="H286" s="28">
        <f>SUM(H284:H285)</f>
        <v>15.49</v>
      </c>
      <c r="I286" s="135">
        <f>(H286/E286)</f>
        <v>0.5263336731226641</v>
      </c>
      <c r="J286" s="28">
        <f>SUM(J284:J285)</f>
        <v>25.07</v>
      </c>
      <c r="K286" s="136">
        <f>SUM(K284:K285)</f>
        <v>11.2</v>
      </c>
      <c r="L286" s="28">
        <f>SUM(L284:L285)</f>
        <v>57.750000000000014</v>
      </c>
      <c r="M286" s="48">
        <f>SUM(M284:M285)</f>
        <v>20.609999999999996</v>
      </c>
      <c r="N286" s="30"/>
      <c r="O286" s="138">
        <f>SUM(O284:O285)</f>
        <v>239699</v>
      </c>
      <c r="P286" s="28">
        <f>SUM(P284:P285)</f>
        <v>25.168395000000004</v>
      </c>
      <c r="Q286" s="28">
        <f>SUM(Q284:Q285)</f>
        <v>20.134716000000004</v>
      </c>
      <c r="R286" s="28">
        <f>SUM(R284:R285)</f>
        <v>1.7657999999999996</v>
      </c>
      <c r="S286" s="28">
        <f>SUM(S284:S285)</f>
        <v>0</v>
      </c>
      <c r="T286" s="33">
        <f>SUM(T254:T282)</f>
        <v>81.152595</v>
      </c>
      <c r="U286" s="134">
        <f>SUM(U254:U282)</f>
        <v>47.798916</v>
      </c>
      <c r="V286" s="32"/>
      <c r="W286" s="32"/>
      <c r="X286" s="33">
        <f>SUM(X254:X282)</f>
        <v>39.644315999999996</v>
      </c>
      <c r="Y286" s="135">
        <f>SUM(X286/U286)</f>
        <v>0.8293978047535638</v>
      </c>
      <c r="Z286" s="33">
        <f aca="true" t="shared" si="148" ref="Z286:AE286">SUM(Z254:Z282)</f>
        <v>11.9</v>
      </c>
      <c r="AA286" s="32">
        <f t="shared" si="148"/>
        <v>23.1</v>
      </c>
      <c r="AB286" s="33">
        <f t="shared" si="148"/>
        <v>47.798916</v>
      </c>
      <c r="AC286" s="136">
        <f t="shared" si="148"/>
        <v>43.144921200000006</v>
      </c>
      <c r="AD286" s="118">
        <f t="shared" si="148"/>
        <v>31.944921200000003</v>
      </c>
      <c r="AE286" s="60">
        <f t="shared" si="148"/>
        <v>27.210110839999995</v>
      </c>
      <c r="AF286" s="31"/>
    </row>
    <row r="287" spans="1:32" ht="14.25">
      <c r="A287" s="77" t="s">
        <v>182</v>
      </c>
      <c r="B287" s="77"/>
      <c r="C287" s="76"/>
      <c r="D287" s="75"/>
      <c r="E287" s="75"/>
      <c r="F287" s="76"/>
      <c r="G287" s="76"/>
      <c r="H287" s="76"/>
      <c r="I287" s="76"/>
      <c r="J287" s="75"/>
      <c r="K287" s="76"/>
      <c r="L287" s="75"/>
      <c r="M287" s="76"/>
      <c r="N287" s="76"/>
      <c r="O287" s="73">
        <v>253000</v>
      </c>
      <c r="P287" s="75"/>
      <c r="Q287" s="75"/>
      <c r="R287" s="75"/>
      <c r="S287" s="75"/>
      <c r="T287" s="75"/>
      <c r="U287" s="75"/>
      <c r="V287" s="75"/>
      <c r="W287" s="75"/>
      <c r="X287" s="75"/>
      <c r="Y287" s="75"/>
      <c r="Z287" s="75"/>
      <c r="AA287" s="75"/>
      <c r="AB287" s="75"/>
      <c r="AC287" s="75"/>
      <c r="AD287" s="75"/>
      <c r="AE287" s="75"/>
      <c r="AF287" s="5" t="s">
        <v>265</v>
      </c>
    </row>
    <row r="288" spans="1:32" ht="12.75">
      <c r="A288" s="77" t="s">
        <v>173</v>
      </c>
      <c r="B288" s="77"/>
      <c r="C288" s="76"/>
      <c r="D288" s="75"/>
      <c r="E288" s="75"/>
      <c r="F288" s="76"/>
      <c r="G288" s="76"/>
      <c r="H288" s="76"/>
      <c r="I288" s="76"/>
      <c r="J288" s="75"/>
      <c r="K288" s="76"/>
      <c r="L288" s="75"/>
      <c r="M288" s="76"/>
      <c r="N288" s="76"/>
      <c r="O288" s="74">
        <f>SUM(O286/O287)</f>
        <v>0.9474268774703557</v>
      </c>
      <c r="P288" s="75"/>
      <c r="Q288" s="75"/>
      <c r="R288" s="75"/>
      <c r="S288" s="75"/>
      <c r="T288" s="75"/>
      <c r="U288" s="75"/>
      <c r="V288" s="75"/>
      <c r="W288" s="75"/>
      <c r="X288" s="75"/>
      <c r="Y288" s="75"/>
      <c r="Z288" s="75"/>
      <c r="AA288" s="75"/>
      <c r="AB288" s="75"/>
      <c r="AC288" s="75"/>
      <c r="AD288" s="75"/>
      <c r="AE288" s="75"/>
      <c r="AF288" s="5"/>
    </row>
    <row r="289" spans="1:32" ht="12.75">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row>
    <row r="290" spans="1:32" ht="12.75" customHeight="1">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c r="AB290" s="194"/>
      <c r="AC290" s="194"/>
      <c r="AD290" s="194"/>
      <c r="AE290" s="194"/>
      <c r="AF290" s="194"/>
    </row>
    <row r="291" spans="1:32" ht="13.5" customHeight="1">
      <c r="A291" s="206"/>
      <c r="B291" s="64"/>
      <c r="C291" s="10"/>
      <c r="D291" s="198" t="s">
        <v>285</v>
      </c>
      <c r="E291" s="198"/>
      <c r="F291" s="199" t="s">
        <v>286</v>
      </c>
      <c r="G291" s="199"/>
      <c r="H291" s="113" t="s">
        <v>131</v>
      </c>
      <c r="I291" s="109">
        <v>2010</v>
      </c>
      <c r="J291" s="208" t="s">
        <v>287</v>
      </c>
      <c r="K291" s="208"/>
      <c r="L291" s="209" t="s">
        <v>288</v>
      </c>
      <c r="M291" s="209"/>
      <c r="N291" s="10">
        <v>2010</v>
      </c>
      <c r="O291" s="68" t="s">
        <v>289</v>
      </c>
      <c r="P291" s="199" t="s">
        <v>290</v>
      </c>
      <c r="Q291" s="199"/>
      <c r="R291" s="199" t="s">
        <v>291</v>
      </c>
      <c r="S291" s="199"/>
      <c r="T291" s="198" t="s">
        <v>292</v>
      </c>
      <c r="U291" s="198"/>
      <c r="V291" s="199" t="s">
        <v>293</v>
      </c>
      <c r="W291" s="199"/>
      <c r="X291" s="114" t="s">
        <v>298</v>
      </c>
      <c r="Y291" s="114" t="s">
        <v>299</v>
      </c>
      <c r="Z291" s="200" t="s">
        <v>294</v>
      </c>
      <c r="AA291" s="40">
        <v>2020</v>
      </c>
      <c r="AB291" s="207" t="s">
        <v>295</v>
      </c>
      <c r="AC291" s="208"/>
      <c r="AD291" s="61" t="s">
        <v>296</v>
      </c>
      <c r="AE291" s="57" t="s">
        <v>296</v>
      </c>
      <c r="AF291" s="10"/>
    </row>
    <row r="292" spans="1:32" ht="13.5" customHeight="1">
      <c r="A292" s="206"/>
      <c r="B292" s="66" t="s">
        <v>153</v>
      </c>
      <c r="C292" s="10" t="s">
        <v>0</v>
      </c>
      <c r="D292" s="198"/>
      <c r="E292" s="198"/>
      <c r="F292" s="199"/>
      <c r="G292" s="199"/>
      <c r="H292" s="113"/>
      <c r="I292" s="109" t="s">
        <v>131</v>
      </c>
      <c r="J292" s="208"/>
      <c r="K292" s="208"/>
      <c r="L292" s="209"/>
      <c r="M292" s="209"/>
      <c r="N292" s="10" t="s">
        <v>2</v>
      </c>
      <c r="O292" s="68" t="s">
        <v>161</v>
      </c>
      <c r="P292" s="199"/>
      <c r="Q292" s="199"/>
      <c r="R292" s="199"/>
      <c r="S292" s="199"/>
      <c r="T292" s="198"/>
      <c r="U292" s="198"/>
      <c r="V292" s="199"/>
      <c r="W292" s="199"/>
      <c r="X292" s="114" t="s">
        <v>131</v>
      </c>
      <c r="Y292" s="114"/>
      <c r="Z292" s="201"/>
      <c r="AA292" s="41" t="s">
        <v>145</v>
      </c>
      <c r="AB292" s="207"/>
      <c r="AC292" s="208"/>
      <c r="AD292" s="61" t="s">
        <v>145</v>
      </c>
      <c r="AE292" s="57" t="s">
        <v>297</v>
      </c>
      <c r="AF292" s="10" t="s">
        <v>3</v>
      </c>
    </row>
    <row r="293" spans="1:32" ht="12.75" customHeight="1">
      <c r="A293" s="206"/>
      <c r="B293" s="66" t="s">
        <v>151</v>
      </c>
      <c r="C293" s="10" t="s">
        <v>1</v>
      </c>
      <c r="D293" s="198"/>
      <c r="E293" s="198"/>
      <c r="F293" s="199"/>
      <c r="G293" s="199"/>
      <c r="H293" s="113"/>
      <c r="I293" s="109"/>
      <c r="J293" s="208"/>
      <c r="K293" s="208"/>
      <c r="L293" s="209"/>
      <c r="M293" s="209"/>
      <c r="N293" s="10" t="s">
        <v>97</v>
      </c>
      <c r="O293" s="68" t="s">
        <v>270</v>
      </c>
      <c r="P293" s="199"/>
      <c r="Q293" s="199"/>
      <c r="R293" s="199"/>
      <c r="S293" s="199"/>
      <c r="T293" s="198"/>
      <c r="U293" s="198"/>
      <c r="V293" s="199"/>
      <c r="W293" s="199"/>
      <c r="X293" s="109"/>
      <c r="Y293" s="109"/>
      <c r="Z293" s="202"/>
      <c r="AA293" s="39" t="s">
        <v>143</v>
      </c>
      <c r="AB293" s="208"/>
      <c r="AC293" s="208"/>
      <c r="AD293" s="61"/>
      <c r="AE293" s="57"/>
      <c r="AF293" s="125"/>
    </row>
    <row r="294" spans="1:32" ht="48.75" customHeight="1">
      <c r="A294" s="78" t="s">
        <v>203</v>
      </c>
      <c r="B294" s="10" t="s">
        <v>154</v>
      </c>
      <c r="C294" s="10" t="s">
        <v>302</v>
      </c>
      <c r="D294" s="10" t="s">
        <v>5</v>
      </c>
      <c r="E294" s="11" t="s">
        <v>7</v>
      </c>
      <c r="F294" s="10" t="s">
        <v>95</v>
      </c>
      <c r="G294" s="10" t="s">
        <v>96</v>
      </c>
      <c r="H294" s="113" t="s">
        <v>7</v>
      </c>
      <c r="I294" s="109"/>
      <c r="J294" s="10" t="s">
        <v>5</v>
      </c>
      <c r="K294" s="12" t="s">
        <v>277</v>
      </c>
      <c r="L294" s="10" t="s">
        <v>5</v>
      </c>
      <c r="M294" s="42" t="s">
        <v>7</v>
      </c>
      <c r="N294" s="10"/>
      <c r="O294" s="68"/>
      <c r="P294" s="10" t="s">
        <v>5</v>
      </c>
      <c r="Q294" s="10" t="s">
        <v>7</v>
      </c>
      <c r="R294" s="10" t="s">
        <v>272</v>
      </c>
      <c r="S294" s="10" t="s">
        <v>273</v>
      </c>
      <c r="T294" s="10" t="s">
        <v>5</v>
      </c>
      <c r="U294" s="11" t="s">
        <v>7</v>
      </c>
      <c r="V294" s="10" t="s">
        <v>95</v>
      </c>
      <c r="W294" s="10" t="s">
        <v>96</v>
      </c>
      <c r="X294" s="109"/>
      <c r="Y294" s="109"/>
      <c r="Z294" s="10"/>
      <c r="AA294" s="10"/>
      <c r="AB294" s="10" t="s">
        <v>5</v>
      </c>
      <c r="AC294" s="12" t="s">
        <v>334</v>
      </c>
      <c r="AD294" s="61" t="s">
        <v>335</v>
      </c>
      <c r="AE294" s="57" t="s">
        <v>336</v>
      </c>
      <c r="AF294" s="125"/>
    </row>
    <row r="295" spans="1:32" ht="12.75">
      <c r="A295" s="10"/>
      <c r="B295" s="10"/>
      <c r="C295" s="125"/>
      <c r="D295" s="10" t="s">
        <v>6</v>
      </c>
      <c r="E295" s="11" t="s">
        <v>6</v>
      </c>
      <c r="F295" s="10"/>
      <c r="G295" s="10"/>
      <c r="H295" s="113" t="s">
        <v>6</v>
      </c>
      <c r="I295" s="109" t="s">
        <v>300</v>
      </c>
      <c r="J295" s="10" t="s">
        <v>6</v>
      </c>
      <c r="K295" s="12" t="s">
        <v>6</v>
      </c>
      <c r="L295" s="10" t="s">
        <v>6</v>
      </c>
      <c r="M295" s="42" t="s">
        <v>6</v>
      </c>
      <c r="N295" s="125"/>
      <c r="O295" s="126"/>
      <c r="P295" s="10" t="s">
        <v>6</v>
      </c>
      <c r="Q295" s="10" t="s">
        <v>6</v>
      </c>
      <c r="R295" s="10" t="s">
        <v>6</v>
      </c>
      <c r="S295" s="10" t="s">
        <v>6</v>
      </c>
      <c r="T295" s="10" t="s">
        <v>6</v>
      </c>
      <c r="U295" s="11" t="s">
        <v>6</v>
      </c>
      <c r="V295" s="10"/>
      <c r="W295" s="10"/>
      <c r="X295" s="109" t="s">
        <v>6</v>
      </c>
      <c r="Y295" s="109" t="s">
        <v>300</v>
      </c>
      <c r="Z295" s="10" t="s">
        <v>6</v>
      </c>
      <c r="AA295" s="10" t="s">
        <v>6</v>
      </c>
      <c r="AB295" s="10" t="s">
        <v>6</v>
      </c>
      <c r="AC295" s="12" t="s">
        <v>6</v>
      </c>
      <c r="AD295" s="61" t="s">
        <v>6</v>
      </c>
      <c r="AE295" s="57" t="s">
        <v>6</v>
      </c>
      <c r="AF295" s="125"/>
    </row>
    <row r="296" spans="1:32" ht="12.75">
      <c r="A296" s="10" t="s">
        <v>4</v>
      </c>
      <c r="B296" s="10"/>
      <c r="C296" s="125"/>
      <c r="D296" s="125"/>
      <c r="E296" s="127"/>
      <c r="F296" s="125"/>
      <c r="G296" s="125"/>
      <c r="H296" s="125"/>
      <c r="I296" s="125"/>
      <c r="J296" s="125"/>
      <c r="K296" s="128"/>
      <c r="L296" s="125"/>
      <c r="M296" s="129"/>
      <c r="N296" s="125"/>
      <c r="O296" s="126"/>
      <c r="P296" s="125"/>
      <c r="Q296" s="125"/>
      <c r="R296" s="125"/>
      <c r="S296" s="125"/>
      <c r="T296" s="125"/>
      <c r="U296" s="13"/>
      <c r="V296" s="44"/>
      <c r="W296" s="44"/>
      <c r="X296" s="44"/>
      <c r="Y296" s="44"/>
      <c r="Z296" s="125"/>
      <c r="AA296" s="125"/>
      <c r="AB296" s="125"/>
      <c r="AC296" s="128"/>
      <c r="AD296" s="121"/>
      <c r="AE296" s="130"/>
      <c r="AF296" s="125"/>
    </row>
    <row r="297" spans="1:32" ht="15">
      <c r="A297" s="54" t="s">
        <v>20</v>
      </c>
      <c r="B297" s="54"/>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row>
    <row r="298" spans="1:32" ht="12.75">
      <c r="A298" s="16" t="s">
        <v>21</v>
      </c>
      <c r="B298" s="16" t="s">
        <v>156</v>
      </c>
      <c r="C298" s="17" t="s">
        <v>139</v>
      </c>
      <c r="D298" s="18">
        <v>0.32</v>
      </c>
      <c r="E298" s="46">
        <v>0.12</v>
      </c>
      <c r="F298" s="17" t="s">
        <v>169</v>
      </c>
      <c r="G298" s="17" t="s">
        <v>129</v>
      </c>
      <c r="H298" s="18">
        <v>0</v>
      </c>
      <c r="I298" s="17"/>
      <c r="J298" s="18">
        <v>0.32</v>
      </c>
      <c r="K298" s="37">
        <v>0.12</v>
      </c>
      <c r="L298" s="18">
        <f>SUM(D298)</f>
        <v>0.32</v>
      </c>
      <c r="M298" s="47">
        <f aca="true" t="shared" si="149" ref="M298:M305">SUM(E298-K298)</f>
        <v>0</v>
      </c>
      <c r="N298" s="17" t="s">
        <v>106</v>
      </c>
      <c r="O298" s="70">
        <v>0</v>
      </c>
      <c r="P298" s="18">
        <f>SUM(O298*84)*(1.25)/1000000</f>
        <v>0</v>
      </c>
      <c r="Q298" s="18">
        <f>SUM(O298*84)/1000000</f>
        <v>0</v>
      </c>
      <c r="R298" s="18">
        <f>SUM(E298*0.06)</f>
        <v>0.0072</v>
      </c>
      <c r="S298" s="17"/>
      <c r="T298" s="18">
        <f>SUM(D298+P298)-(R298+S298)</f>
        <v>0.3128</v>
      </c>
      <c r="U298" s="46">
        <f>SUM(E298+Q298)-(R298+S298)</f>
        <v>0.1128</v>
      </c>
      <c r="V298" s="50" t="s">
        <v>128</v>
      </c>
      <c r="W298" s="50" t="s">
        <v>144</v>
      </c>
      <c r="X298" s="50"/>
      <c r="Y298" s="50"/>
      <c r="Z298" s="17"/>
      <c r="AA298" s="18">
        <f>K298+Z298</f>
        <v>0.12</v>
      </c>
      <c r="AB298" s="18">
        <f>SUM(U298)</f>
        <v>0.1128</v>
      </c>
      <c r="AC298" s="37">
        <f>SUM(U298*1)</f>
        <v>0.1128</v>
      </c>
      <c r="AD298" s="62">
        <f>SUM(AC298-K298)</f>
        <v>-0.007199999999999998</v>
      </c>
      <c r="AE298" s="58">
        <f>SUM(AD298*1)</f>
        <v>-0.007199999999999998</v>
      </c>
      <c r="AF298" s="17" t="s">
        <v>278</v>
      </c>
    </row>
    <row r="299" spans="1:32" ht="12.75">
      <c r="A299" s="16" t="s">
        <v>22</v>
      </c>
      <c r="B299" s="16" t="s">
        <v>156</v>
      </c>
      <c r="C299" s="17" t="s">
        <v>139</v>
      </c>
      <c r="D299" s="18">
        <v>0.21</v>
      </c>
      <c r="E299" s="46">
        <v>0.18</v>
      </c>
      <c r="F299" s="17" t="s">
        <v>128</v>
      </c>
      <c r="G299" s="17" t="s">
        <v>129</v>
      </c>
      <c r="H299" s="18">
        <v>0</v>
      </c>
      <c r="I299" s="17"/>
      <c r="J299" s="18">
        <v>0</v>
      </c>
      <c r="K299" s="37">
        <v>0</v>
      </c>
      <c r="L299" s="18">
        <f>SUM(D299)</f>
        <v>0.21</v>
      </c>
      <c r="M299" s="47">
        <f t="shared" si="149"/>
        <v>0.18</v>
      </c>
      <c r="N299" s="17"/>
      <c r="O299" s="70">
        <v>0</v>
      </c>
      <c r="P299" s="18">
        <f>SUM(O299*84)*(1.25)/1000000</f>
        <v>0</v>
      </c>
      <c r="Q299" s="18">
        <f>SUM(O299*84)/1000000</f>
        <v>0</v>
      </c>
      <c r="R299" s="18">
        <f>SUM(E299*0.06)</f>
        <v>0.010799999999999999</v>
      </c>
      <c r="S299" s="17"/>
      <c r="T299" s="18">
        <f>SUM(D299+P299)-(R299+S299)</f>
        <v>0.1992</v>
      </c>
      <c r="U299" s="46">
        <f>SUM(E299+Q299)-(R299+S299)</f>
        <v>0.1692</v>
      </c>
      <c r="V299" s="50" t="s">
        <v>128</v>
      </c>
      <c r="W299" s="50" t="s">
        <v>144</v>
      </c>
      <c r="X299" s="50"/>
      <c r="Y299" s="50"/>
      <c r="Z299" s="17"/>
      <c r="AA299" s="18">
        <f>K299+Z299</f>
        <v>0</v>
      </c>
      <c r="AB299" s="18">
        <f>SUM(U299)</f>
        <v>0.1692</v>
      </c>
      <c r="AC299" s="37">
        <f>SUM(U299*0.7)</f>
        <v>0.11843999999999999</v>
      </c>
      <c r="AD299" s="62">
        <f>SUM(AC299-K299)</f>
        <v>0.11843999999999999</v>
      </c>
      <c r="AE299" s="58">
        <f>SUM(AD299*0.7)</f>
        <v>0.08290799999999998</v>
      </c>
      <c r="AF299" s="17" t="s">
        <v>105</v>
      </c>
    </row>
    <row r="300" spans="1:32" ht="12.75">
      <c r="A300" s="16" t="s">
        <v>23</v>
      </c>
      <c r="B300" s="16" t="s">
        <v>156</v>
      </c>
      <c r="C300" s="17" t="s">
        <v>139</v>
      </c>
      <c r="D300" s="18">
        <v>1.2</v>
      </c>
      <c r="E300" s="46">
        <v>0.7</v>
      </c>
      <c r="F300" s="17" t="s">
        <v>128</v>
      </c>
      <c r="G300" s="17" t="s">
        <v>129</v>
      </c>
      <c r="H300" s="18">
        <v>0</v>
      </c>
      <c r="I300" s="17"/>
      <c r="J300" s="18">
        <v>1.2</v>
      </c>
      <c r="K300" s="37">
        <v>0.7</v>
      </c>
      <c r="L300" s="18">
        <f>SUM(D300)</f>
        <v>1.2</v>
      </c>
      <c r="M300" s="47">
        <f t="shared" si="149"/>
        <v>0</v>
      </c>
      <c r="N300" s="17" t="s">
        <v>106</v>
      </c>
      <c r="O300" s="70">
        <v>97</v>
      </c>
      <c r="P300" s="18">
        <f>SUM(O300*84)*(1.25)/1000000</f>
        <v>0.010185</v>
      </c>
      <c r="Q300" s="18">
        <f>SUM(O300*84)/1000000</f>
        <v>0.008148</v>
      </c>
      <c r="R300" s="18">
        <f>SUM(E300*0.06)</f>
        <v>0.041999999999999996</v>
      </c>
      <c r="S300" s="17"/>
      <c r="T300" s="18">
        <f>SUM(D300+P300)-(R300+S300)</f>
        <v>1.168185</v>
      </c>
      <c r="U300" s="46">
        <f>SUM(E300+Q300)-(R300+S300)</f>
        <v>0.666148</v>
      </c>
      <c r="V300" s="50" t="s">
        <v>128</v>
      </c>
      <c r="W300" s="50" t="s">
        <v>144</v>
      </c>
      <c r="X300" s="50"/>
      <c r="Y300" s="50"/>
      <c r="Z300" s="17"/>
      <c r="AA300" s="18">
        <f>K300+Z300</f>
        <v>0.7</v>
      </c>
      <c r="AB300" s="18">
        <f>SUM(U300)</f>
        <v>0.666148</v>
      </c>
      <c r="AC300" s="37">
        <f>SUM(U300*1)</f>
        <v>0.666148</v>
      </c>
      <c r="AD300" s="62">
        <f>SUM(AC300-K300)</f>
        <v>-0.03385199999999999</v>
      </c>
      <c r="AE300" s="58">
        <f>SUM(AD300*1)</f>
        <v>-0.03385199999999999</v>
      </c>
      <c r="AF300" s="17" t="s">
        <v>278</v>
      </c>
    </row>
    <row r="301" spans="1:32" ht="12.75">
      <c r="A301" s="16" t="s">
        <v>323</v>
      </c>
      <c r="B301" s="16" t="s">
        <v>156</v>
      </c>
      <c r="C301" s="17" t="s">
        <v>139</v>
      </c>
      <c r="D301" s="18">
        <v>0.36</v>
      </c>
      <c r="E301" s="46">
        <v>0.07</v>
      </c>
      <c r="F301" s="17" t="s">
        <v>128</v>
      </c>
      <c r="G301" s="17" t="s">
        <v>129</v>
      </c>
      <c r="H301" s="18">
        <v>0</v>
      </c>
      <c r="I301" s="17"/>
      <c r="J301" s="18">
        <v>0.36</v>
      </c>
      <c r="K301" s="37">
        <v>0.07</v>
      </c>
      <c r="L301" s="18">
        <f>SUM(D301)</f>
        <v>0.36</v>
      </c>
      <c r="M301" s="47">
        <f t="shared" si="149"/>
        <v>0</v>
      </c>
      <c r="N301" s="17" t="s">
        <v>106</v>
      </c>
      <c r="O301" s="70">
        <v>0</v>
      </c>
      <c r="P301" s="18">
        <f>SUM(O301*84)*(1.25)/1000000</f>
        <v>0</v>
      </c>
      <c r="Q301" s="18">
        <f>SUM(O301*84)/1000000</f>
        <v>0</v>
      </c>
      <c r="R301" s="18">
        <f>SUM(E301*0.06)</f>
        <v>0.004200000000000001</v>
      </c>
      <c r="S301" s="17"/>
      <c r="T301" s="18">
        <f>SUM(D301+P301)-(R301+S301)</f>
        <v>0.3558</v>
      </c>
      <c r="U301" s="46">
        <f>SUM(E301+Q301)-(R301+S301)</f>
        <v>0.06580000000000001</v>
      </c>
      <c r="V301" s="50" t="s">
        <v>128</v>
      </c>
      <c r="W301" s="50" t="s">
        <v>144</v>
      </c>
      <c r="X301" s="50"/>
      <c r="Y301" s="50"/>
      <c r="Z301" s="17"/>
      <c r="AA301" s="18">
        <f>K301+Z301</f>
        <v>0.07</v>
      </c>
      <c r="AB301" s="18">
        <f>SUM(U301)</f>
        <v>0.06580000000000001</v>
      </c>
      <c r="AC301" s="37">
        <f>SUM(U301*1)</f>
        <v>0.06580000000000001</v>
      </c>
      <c r="AD301" s="62">
        <f>SUM(AC301-K301)</f>
        <v>-0.004199999999999995</v>
      </c>
      <c r="AE301" s="58">
        <f>SUM(AD301*1)</f>
        <v>-0.004199999999999995</v>
      </c>
      <c r="AF301" s="17" t="s">
        <v>162</v>
      </c>
    </row>
    <row r="302" spans="1:32" ht="12.75">
      <c r="A302" s="16" t="s">
        <v>24</v>
      </c>
      <c r="B302" s="16" t="s">
        <v>156</v>
      </c>
      <c r="C302" s="17" t="s">
        <v>139</v>
      </c>
      <c r="D302" s="18">
        <v>0.2</v>
      </c>
      <c r="E302" s="46">
        <v>0.13</v>
      </c>
      <c r="F302" s="17" t="s">
        <v>169</v>
      </c>
      <c r="G302" s="17" t="s">
        <v>129</v>
      </c>
      <c r="H302" s="18">
        <v>0</v>
      </c>
      <c r="I302" s="17"/>
      <c r="J302" s="18">
        <v>0</v>
      </c>
      <c r="K302" s="37">
        <v>0</v>
      </c>
      <c r="L302" s="18">
        <f>SUM(D302)</f>
        <v>0.2</v>
      </c>
      <c r="M302" s="47">
        <f t="shared" si="149"/>
        <v>0.13</v>
      </c>
      <c r="N302" s="17"/>
      <c r="O302" s="70">
        <v>40</v>
      </c>
      <c r="P302" s="18">
        <f>SUM(O302*84)*(1.25)/1000000</f>
        <v>0.0042</v>
      </c>
      <c r="Q302" s="18">
        <f>SUM(O302*84)/1000000</f>
        <v>0.00336</v>
      </c>
      <c r="R302" s="18">
        <f>SUM(E302*0.06)</f>
        <v>0.0078</v>
      </c>
      <c r="S302" s="17"/>
      <c r="T302" s="18">
        <f>SUM(D302+P302)-(R302+S302)</f>
        <v>0.19640000000000002</v>
      </c>
      <c r="U302" s="46">
        <f>SUM(E302+Q302)-(R302+S302)</f>
        <v>0.12556</v>
      </c>
      <c r="V302" s="50" t="s">
        <v>128</v>
      </c>
      <c r="W302" s="50" t="s">
        <v>144</v>
      </c>
      <c r="X302" s="50"/>
      <c r="Y302" s="50"/>
      <c r="Z302" s="17"/>
      <c r="AA302" s="18">
        <f>K302+Z302</f>
        <v>0</v>
      </c>
      <c r="AB302" s="18">
        <f>SUM(U302)</f>
        <v>0.12556</v>
      </c>
      <c r="AC302" s="37">
        <f>SUM(U302*0.7)</f>
        <v>0.087892</v>
      </c>
      <c r="AD302" s="62">
        <f>SUM(AC302-K302)</f>
        <v>0.087892</v>
      </c>
      <c r="AE302" s="58">
        <f>SUM(AD302*0.7)</f>
        <v>0.06152439999999999</v>
      </c>
      <c r="AF302" s="17">
        <v>1</v>
      </c>
    </row>
    <row r="303" spans="1:32" ht="15">
      <c r="A303" s="14" t="s">
        <v>25</v>
      </c>
      <c r="B303" s="14"/>
      <c r="C303" s="15"/>
      <c r="D303" s="51"/>
      <c r="E303" s="51"/>
      <c r="F303" s="15"/>
      <c r="G303" s="15"/>
      <c r="H303" s="15"/>
      <c r="I303" s="15"/>
      <c r="J303" s="51"/>
      <c r="K303" s="51"/>
      <c r="L303" s="51"/>
      <c r="M303" s="52"/>
      <c r="N303" s="15"/>
      <c r="O303" s="15"/>
      <c r="P303" s="15"/>
      <c r="Q303" s="15"/>
      <c r="R303" s="15"/>
      <c r="S303" s="15"/>
      <c r="T303" s="15"/>
      <c r="U303" s="53"/>
      <c r="V303" s="53"/>
      <c r="W303" s="53"/>
      <c r="X303" s="53"/>
      <c r="Y303" s="53"/>
      <c r="Z303" s="15"/>
      <c r="AA303" s="52"/>
      <c r="AB303" s="15"/>
      <c r="AC303" s="15"/>
      <c r="AD303" s="15"/>
      <c r="AE303" s="15"/>
      <c r="AF303" s="15"/>
    </row>
    <row r="304" spans="1:32" ht="15">
      <c r="A304" s="16" t="s">
        <v>13</v>
      </c>
      <c r="B304" s="16"/>
      <c r="C304" s="17">
        <v>5</v>
      </c>
      <c r="D304" s="18">
        <f>SUM(D298:D302)</f>
        <v>2.29</v>
      </c>
      <c r="E304" s="46">
        <f>SUM(E298:E302)</f>
        <v>1.2000000000000002</v>
      </c>
      <c r="F304" s="17"/>
      <c r="G304" s="17"/>
      <c r="H304" s="18">
        <f>SUM(H298:H302)</f>
        <v>0</v>
      </c>
      <c r="I304" s="17"/>
      <c r="J304" s="18">
        <f>SUM(J298:J302)</f>
        <v>1.88</v>
      </c>
      <c r="K304" s="172">
        <f>SUM(K298:K302)</f>
        <v>0.8899999999999999</v>
      </c>
      <c r="L304" s="18">
        <f>SUM(L298:L302)</f>
        <v>2.29</v>
      </c>
      <c r="M304" s="47">
        <f>SUM(M298:M302)</f>
        <v>0.31</v>
      </c>
      <c r="N304" s="17"/>
      <c r="O304" s="70">
        <f aca="true" t="shared" si="150" ref="O304:U304">SUM(O298:O302)</f>
        <v>137</v>
      </c>
      <c r="P304" s="71">
        <f t="shared" si="150"/>
        <v>0.014384999999999998</v>
      </c>
      <c r="Q304" s="71">
        <f t="shared" si="150"/>
        <v>0.011508000000000001</v>
      </c>
      <c r="R304" s="71">
        <f t="shared" si="150"/>
        <v>0.072</v>
      </c>
      <c r="S304" s="71">
        <f t="shared" si="150"/>
        <v>0</v>
      </c>
      <c r="T304" s="71">
        <f t="shared" si="150"/>
        <v>2.2323850000000003</v>
      </c>
      <c r="U304" s="46">
        <f t="shared" si="150"/>
        <v>1.1395080000000002</v>
      </c>
      <c r="V304" s="43"/>
      <c r="W304" s="43"/>
      <c r="X304" s="43"/>
      <c r="Y304" s="43"/>
      <c r="Z304" s="71">
        <f aca="true" t="shared" si="151" ref="Z304:AE304">SUM(Z298:Z302)</f>
        <v>0</v>
      </c>
      <c r="AA304" s="71">
        <f t="shared" si="151"/>
        <v>0.8899999999999999</v>
      </c>
      <c r="AB304" s="71">
        <f t="shared" si="151"/>
        <v>1.1395080000000002</v>
      </c>
      <c r="AC304" s="37">
        <f t="shared" si="151"/>
        <v>1.05108</v>
      </c>
      <c r="AD304" s="62">
        <f t="shared" si="151"/>
        <v>0.16108</v>
      </c>
      <c r="AE304" s="58">
        <f t="shared" si="151"/>
        <v>0.09918039999999999</v>
      </c>
      <c r="AF304" s="20"/>
    </row>
    <row r="305" spans="1:32" ht="15.75" thickBot="1">
      <c r="A305" s="22" t="s">
        <v>14</v>
      </c>
      <c r="B305" s="22"/>
      <c r="C305" s="23">
        <v>0</v>
      </c>
      <c r="D305" s="24">
        <v>0</v>
      </c>
      <c r="E305" s="132">
        <v>0</v>
      </c>
      <c r="F305" s="23"/>
      <c r="G305" s="23"/>
      <c r="H305" s="24">
        <v>0</v>
      </c>
      <c r="I305" s="23"/>
      <c r="J305" s="24">
        <v>0</v>
      </c>
      <c r="K305" s="133">
        <v>0</v>
      </c>
      <c r="L305" s="24">
        <v>0</v>
      </c>
      <c r="M305" s="47">
        <f t="shared" si="149"/>
        <v>0</v>
      </c>
      <c r="N305" s="23"/>
      <c r="O305" s="171">
        <v>0</v>
      </c>
      <c r="P305" s="24">
        <v>0</v>
      </c>
      <c r="Q305" s="24">
        <v>0</v>
      </c>
      <c r="R305" s="24">
        <v>0</v>
      </c>
      <c r="S305" s="24">
        <v>0</v>
      </c>
      <c r="T305" s="24">
        <v>0</v>
      </c>
      <c r="U305" s="132">
        <v>0</v>
      </c>
      <c r="V305" s="45"/>
      <c r="W305" s="45"/>
      <c r="X305" s="45"/>
      <c r="Y305" s="45"/>
      <c r="Z305" s="24">
        <v>0</v>
      </c>
      <c r="AA305" s="18">
        <f>K305+Z305</f>
        <v>0</v>
      </c>
      <c r="AB305" s="24">
        <v>0</v>
      </c>
      <c r="AC305" s="133">
        <v>0</v>
      </c>
      <c r="AD305" s="117">
        <v>0</v>
      </c>
      <c r="AE305" s="59">
        <v>0</v>
      </c>
      <c r="AF305" s="25"/>
    </row>
    <row r="306" spans="1:32" ht="13.5" thickBot="1">
      <c r="A306" s="26" t="s">
        <v>15</v>
      </c>
      <c r="B306" s="65"/>
      <c r="C306" s="27">
        <f>SUM(C304:C305)</f>
        <v>5</v>
      </c>
      <c r="D306" s="33">
        <f>SUM(D304:D305)</f>
        <v>2.29</v>
      </c>
      <c r="E306" s="173">
        <f>SUM(E298:E302)</f>
        <v>1.2000000000000002</v>
      </c>
      <c r="F306" s="27"/>
      <c r="G306" s="27"/>
      <c r="H306" s="33">
        <f>SUM(H304:H305)</f>
        <v>0</v>
      </c>
      <c r="I306" s="135">
        <f>(H306/E306)</f>
        <v>0</v>
      </c>
      <c r="J306" s="33">
        <f>SUM(J304:J305)</f>
        <v>1.88</v>
      </c>
      <c r="K306" s="141">
        <f>SUM(K298:K302)</f>
        <v>0.8899999999999999</v>
      </c>
      <c r="L306" s="33">
        <f>SUM(L304:L305)</f>
        <v>2.29</v>
      </c>
      <c r="M306" s="137">
        <f>SUM(M298:M302)</f>
        <v>0.31</v>
      </c>
      <c r="N306" s="27"/>
      <c r="O306" s="138">
        <f aca="true" t="shared" si="152" ref="O306:T306">SUM(O304+O305)</f>
        <v>137</v>
      </c>
      <c r="P306" s="174">
        <f t="shared" si="152"/>
        <v>0.014384999999999998</v>
      </c>
      <c r="Q306" s="174">
        <f t="shared" si="152"/>
        <v>0.011508000000000001</v>
      </c>
      <c r="R306" s="174">
        <f t="shared" si="152"/>
        <v>0.072</v>
      </c>
      <c r="S306" s="174">
        <f t="shared" si="152"/>
        <v>0</v>
      </c>
      <c r="T306" s="174">
        <f t="shared" si="152"/>
        <v>2.2323850000000003</v>
      </c>
      <c r="U306" s="134">
        <f>SUM(U304:U305)</f>
        <v>1.1395080000000002</v>
      </c>
      <c r="V306" s="33"/>
      <c r="W306" s="33"/>
      <c r="X306" s="33">
        <v>0</v>
      </c>
      <c r="Y306" s="135">
        <f>SUM(X306/U306)</f>
        <v>0</v>
      </c>
      <c r="Z306" s="33">
        <f>SUM(Z304+Z305)</f>
        <v>0</v>
      </c>
      <c r="AA306" s="33">
        <f>SUM(AA304+AA305)</f>
        <v>0.8899999999999999</v>
      </c>
      <c r="AB306" s="33">
        <f>SUM(AB304+AB305)</f>
        <v>1.1395080000000002</v>
      </c>
      <c r="AC306" s="136">
        <f>SUM(AC298:AC302)</f>
        <v>1.05108</v>
      </c>
      <c r="AD306" s="118">
        <f>SUM(AD298:AD302)</f>
        <v>0.16108</v>
      </c>
      <c r="AE306" s="60">
        <f>SUM(AE298:AE302)</f>
        <v>0.09918039999999999</v>
      </c>
      <c r="AF306" s="34"/>
    </row>
    <row r="307" spans="1:32" ht="12.75">
      <c r="A307" s="77" t="s">
        <v>172</v>
      </c>
      <c r="B307" s="77"/>
      <c r="C307" s="76"/>
      <c r="D307" s="75"/>
      <c r="E307" s="75"/>
      <c r="F307" s="76"/>
      <c r="G307" s="76"/>
      <c r="H307" s="76"/>
      <c r="I307" s="76"/>
      <c r="J307" s="75"/>
      <c r="K307" s="76"/>
      <c r="L307" s="75"/>
      <c r="M307" s="76"/>
      <c r="N307" s="76"/>
      <c r="O307" s="73">
        <v>1465</v>
      </c>
      <c r="P307" s="75"/>
      <c r="Q307" s="75"/>
      <c r="R307" s="75"/>
      <c r="S307" s="75"/>
      <c r="T307" s="75"/>
      <c r="U307" s="75"/>
      <c r="V307" s="75"/>
      <c r="W307" s="75"/>
      <c r="X307" s="75"/>
      <c r="Y307" s="75"/>
      <c r="Z307" s="75"/>
      <c r="AA307" s="75"/>
      <c r="AB307" s="75"/>
      <c r="AC307" s="75"/>
      <c r="AD307" s="75"/>
      <c r="AE307" s="75"/>
      <c r="AF307" s="5" t="s">
        <v>265</v>
      </c>
    </row>
    <row r="308" spans="1:32" ht="12.75">
      <c r="A308" s="77" t="s">
        <v>173</v>
      </c>
      <c r="B308" s="77"/>
      <c r="C308" s="76"/>
      <c r="D308" s="75"/>
      <c r="E308" s="75"/>
      <c r="F308" s="76"/>
      <c r="G308" s="76"/>
      <c r="H308" s="76"/>
      <c r="I308" s="76"/>
      <c r="J308" s="75"/>
      <c r="K308" s="76"/>
      <c r="L308" s="75"/>
      <c r="M308" s="76"/>
      <c r="N308" s="76"/>
      <c r="O308" s="74">
        <f>SUM(O306/O307)</f>
        <v>0.09351535836177474</v>
      </c>
      <c r="P308" s="75"/>
      <c r="Q308" s="75"/>
      <c r="R308" s="75"/>
      <c r="S308" s="75"/>
      <c r="T308" s="75"/>
      <c r="U308" s="75"/>
      <c r="V308" s="75"/>
      <c r="W308" s="75"/>
      <c r="X308" s="75"/>
      <c r="Y308" s="75"/>
      <c r="Z308" s="75"/>
      <c r="AA308" s="75"/>
      <c r="AB308" s="75"/>
      <c r="AC308" s="75"/>
      <c r="AD308" s="75"/>
      <c r="AE308" s="75"/>
      <c r="AF308" s="5"/>
    </row>
    <row r="309" spans="1:32" ht="15.75">
      <c r="A309" s="203" t="s">
        <v>150</v>
      </c>
      <c r="B309" s="203"/>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5"/>
    </row>
    <row r="310" spans="1:32" ht="15" customHeight="1">
      <c r="A310" s="206"/>
      <c r="B310" s="64"/>
      <c r="C310" s="10"/>
      <c r="D310" s="198" t="s">
        <v>285</v>
      </c>
      <c r="E310" s="198"/>
      <c r="F310" s="199" t="s">
        <v>286</v>
      </c>
      <c r="G310" s="199"/>
      <c r="H310" s="113" t="s">
        <v>131</v>
      </c>
      <c r="I310" s="109">
        <v>2010</v>
      </c>
      <c r="J310" s="208" t="s">
        <v>287</v>
      </c>
      <c r="K310" s="208"/>
      <c r="L310" s="209" t="s">
        <v>288</v>
      </c>
      <c r="M310" s="209"/>
      <c r="N310" s="10">
        <v>2010</v>
      </c>
      <c r="O310" s="68" t="s">
        <v>289</v>
      </c>
      <c r="P310" s="199" t="s">
        <v>290</v>
      </c>
      <c r="Q310" s="199"/>
      <c r="R310" s="199" t="s">
        <v>291</v>
      </c>
      <c r="S310" s="199"/>
      <c r="T310" s="198" t="s">
        <v>292</v>
      </c>
      <c r="U310" s="198"/>
      <c r="V310" s="199" t="s">
        <v>293</v>
      </c>
      <c r="W310" s="199"/>
      <c r="X310" s="114" t="s">
        <v>298</v>
      </c>
      <c r="Y310" s="114" t="s">
        <v>299</v>
      </c>
      <c r="Z310" s="200" t="s">
        <v>294</v>
      </c>
      <c r="AA310" s="40">
        <v>2020</v>
      </c>
      <c r="AB310" s="207" t="s">
        <v>295</v>
      </c>
      <c r="AC310" s="208"/>
      <c r="AD310" s="61" t="s">
        <v>296</v>
      </c>
      <c r="AE310" s="57" t="s">
        <v>296</v>
      </c>
      <c r="AF310" s="10"/>
    </row>
    <row r="311" spans="1:32" ht="12.75" customHeight="1">
      <c r="A311" s="206"/>
      <c r="B311" s="66" t="s">
        <v>153</v>
      </c>
      <c r="C311" s="10" t="s">
        <v>0</v>
      </c>
      <c r="D311" s="198"/>
      <c r="E311" s="198"/>
      <c r="F311" s="199"/>
      <c r="G311" s="199"/>
      <c r="H311" s="113"/>
      <c r="I311" s="109" t="s">
        <v>131</v>
      </c>
      <c r="J311" s="208"/>
      <c r="K311" s="208"/>
      <c r="L311" s="209"/>
      <c r="M311" s="209"/>
      <c r="N311" s="10" t="s">
        <v>2</v>
      </c>
      <c r="O311" s="68" t="s">
        <v>161</v>
      </c>
      <c r="P311" s="199"/>
      <c r="Q311" s="199"/>
      <c r="R311" s="199"/>
      <c r="S311" s="199"/>
      <c r="T311" s="198"/>
      <c r="U311" s="198"/>
      <c r="V311" s="199"/>
      <c r="W311" s="199"/>
      <c r="X311" s="114" t="s">
        <v>131</v>
      </c>
      <c r="Y311" s="114"/>
      <c r="Z311" s="201"/>
      <c r="AA311" s="41" t="s">
        <v>145</v>
      </c>
      <c r="AB311" s="207"/>
      <c r="AC311" s="208"/>
      <c r="AD311" s="61" t="s">
        <v>145</v>
      </c>
      <c r="AE311" s="57" t="s">
        <v>297</v>
      </c>
      <c r="AF311" s="10" t="s">
        <v>3</v>
      </c>
    </row>
    <row r="312" spans="1:32" ht="12.75" customHeight="1">
      <c r="A312" s="206"/>
      <c r="B312" s="66" t="s">
        <v>151</v>
      </c>
      <c r="C312" s="10" t="s">
        <v>1</v>
      </c>
      <c r="D312" s="198"/>
      <c r="E312" s="198"/>
      <c r="F312" s="199"/>
      <c r="G312" s="199"/>
      <c r="H312" s="113"/>
      <c r="I312" s="109"/>
      <c r="J312" s="208"/>
      <c r="K312" s="208"/>
      <c r="L312" s="209"/>
      <c r="M312" s="209"/>
      <c r="N312" s="10" t="s">
        <v>97</v>
      </c>
      <c r="O312" s="68" t="s">
        <v>270</v>
      </c>
      <c r="P312" s="199"/>
      <c r="Q312" s="199"/>
      <c r="R312" s="199"/>
      <c r="S312" s="199"/>
      <c r="T312" s="198"/>
      <c r="U312" s="198"/>
      <c r="V312" s="199"/>
      <c r="W312" s="199"/>
      <c r="X312" s="109"/>
      <c r="Y312" s="109"/>
      <c r="Z312" s="202"/>
      <c r="AA312" s="39" t="s">
        <v>143</v>
      </c>
      <c r="AB312" s="208"/>
      <c r="AC312" s="208"/>
      <c r="AD312" s="61"/>
      <c r="AE312" s="57"/>
      <c r="AF312" s="125"/>
    </row>
    <row r="313" spans="1:32" ht="51" customHeight="1">
      <c r="A313" s="78" t="s">
        <v>204</v>
      </c>
      <c r="B313" s="10" t="s">
        <v>154</v>
      </c>
      <c r="C313" s="10" t="s">
        <v>302</v>
      </c>
      <c r="D313" s="10" t="s">
        <v>5</v>
      </c>
      <c r="E313" s="11" t="s">
        <v>7</v>
      </c>
      <c r="F313" s="10" t="s">
        <v>95</v>
      </c>
      <c r="G313" s="10" t="s">
        <v>96</v>
      </c>
      <c r="H313" s="113" t="s">
        <v>7</v>
      </c>
      <c r="I313" s="109"/>
      <c r="J313" s="10" t="s">
        <v>5</v>
      </c>
      <c r="K313" s="12" t="s">
        <v>277</v>
      </c>
      <c r="L313" s="10" t="s">
        <v>5</v>
      </c>
      <c r="M313" s="42" t="s">
        <v>7</v>
      </c>
      <c r="N313" s="10"/>
      <c r="O313" s="68"/>
      <c r="P313" s="10" t="s">
        <v>5</v>
      </c>
      <c r="Q313" s="10" t="s">
        <v>7</v>
      </c>
      <c r="R313" s="10" t="s">
        <v>272</v>
      </c>
      <c r="S313" s="10" t="s">
        <v>273</v>
      </c>
      <c r="T313" s="10" t="s">
        <v>5</v>
      </c>
      <c r="U313" s="11" t="s">
        <v>7</v>
      </c>
      <c r="V313" s="10" t="s">
        <v>95</v>
      </c>
      <c r="W313" s="10" t="s">
        <v>96</v>
      </c>
      <c r="X313" s="109"/>
      <c r="Y313" s="109"/>
      <c r="Z313" s="10"/>
      <c r="AA313" s="10"/>
      <c r="AB313" s="10" t="s">
        <v>5</v>
      </c>
      <c r="AC313" s="12" t="s">
        <v>334</v>
      </c>
      <c r="AD313" s="61" t="s">
        <v>335</v>
      </c>
      <c r="AE313" s="57" t="s">
        <v>336</v>
      </c>
      <c r="AF313" s="125"/>
    </row>
    <row r="314" spans="1:32" ht="12.75">
      <c r="A314" s="10"/>
      <c r="B314" s="10"/>
      <c r="C314" s="125"/>
      <c r="D314" s="10" t="s">
        <v>6</v>
      </c>
      <c r="E314" s="11" t="s">
        <v>6</v>
      </c>
      <c r="F314" s="10"/>
      <c r="G314" s="10"/>
      <c r="H314" s="113" t="s">
        <v>6</v>
      </c>
      <c r="I314" s="109" t="s">
        <v>300</v>
      </c>
      <c r="J314" s="10" t="s">
        <v>6</v>
      </c>
      <c r="K314" s="12" t="s">
        <v>6</v>
      </c>
      <c r="L314" s="10" t="s">
        <v>6</v>
      </c>
      <c r="M314" s="42" t="s">
        <v>6</v>
      </c>
      <c r="N314" s="125"/>
      <c r="O314" s="126"/>
      <c r="P314" s="10" t="s">
        <v>6</v>
      </c>
      <c r="Q314" s="10" t="s">
        <v>6</v>
      </c>
      <c r="R314" s="10" t="s">
        <v>6</v>
      </c>
      <c r="S314" s="10" t="s">
        <v>6</v>
      </c>
      <c r="T314" s="10" t="s">
        <v>6</v>
      </c>
      <c r="U314" s="11" t="s">
        <v>6</v>
      </c>
      <c r="V314" s="10"/>
      <c r="W314" s="10"/>
      <c r="X314" s="109" t="s">
        <v>6</v>
      </c>
      <c r="Y314" s="109" t="s">
        <v>300</v>
      </c>
      <c r="Z314" s="10" t="s">
        <v>6</v>
      </c>
      <c r="AA314" s="10" t="s">
        <v>6</v>
      </c>
      <c r="AB314" s="10" t="s">
        <v>6</v>
      </c>
      <c r="AC314" s="12" t="s">
        <v>6</v>
      </c>
      <c r="AD314" s="61" t="s">
        <v>6</v>
      </c>
      <c r="AE314" s="57" t="s">
        <v>6</v>
      </c>
      <c r="AF314" s="125"/>
    </row>
    <row r="315" spans="1:32" ht="12.75">
      <c r="A315" s="10" t="s">
        <v>4</v>
      </c>
      <c r="B315" s="10"/>
      <c r="C315" s="125"/>
      <c r="D315" s="125"/>
      <c r="E315" s="127"/>
      <c r="F315" s="125"/>
      <c r="G315" s="125"/>
      <c r="H315" s="125"/>
      <c r="I315" s="125"/>
      <c r="J315" s="125"/>
      <c r="K315" s="128"/>
      <c r="L315" s="125"/>
      <c r="M315" s="129"/>
      <c r="N315" s="125"/>
      <c r="O315" s="126"/>
      <c r="P315" s="125"/>
      <c r="Q315" s="125"/>
      <c r="R315" s="125"/>
      <c r="S315" s="125"/>
      <c r="T315" s="125"/>
      <c r="U315" s="13"/>
      <c r="V315" s="44"/>
      <c r="W315" s="44"/>
      <c r="X315" s="44"/>
      <c r="Y315" s="44"/>
      <c r="Z315" s="125"/>
      <c r="AA315" s="125"/>
      <c r="AB315" s="125"/>
      <c r="AC315" s="128"/>
      <c r="AD315" s="121"/>
      <c r="AE315" s="130"/>
      <c r="AF315" s="125"/>
    </row>
    <row r="316" spans="1:32" ht="15">
      <c r="A316" s="54" t="s">
        <v>27</v>
      </c>
      <c r="B316" s="54"/>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row>
    <row r="317" spans="1:32" ht="12.75">
      <c r="A317" s="16" t="s">
        <v>324</v>
      </c>
      <c r="B317" s="16" t="s">
        <v>156</v>
      </c>
      <c r="C317" s="17" t="s">
        <v>139</v>
      </c>
      <c r="D317" s="18">
        <v>0.1</v>
      </c>
      <c r="E317" s="46">
        <v>0.02</v>
      </c>
      <c r="F317" s="17" t="s">
        <v>169</v>
      </c>
      <c r="G317" s="17" t="s">
        <v>129</v>
      </c>
      <c r="H317" s="18">
        <v>0</v>
      </c>
      <c r="I317" s="17"/>
      <c r="J317" s="18">
        <v>0</v>
      </c>
      <c r="K317" s="37">
        <v>0</v>
      </c>
      <c r="L317" s="18">
        <f aca="true" t="shared" si="153" ref="L317:L322">SUM(D317)</f>
        <v>0.1</v>
      </c>
      <c r="M317" s="47">
        <f aca="true" t="shared" si="154" ref="M317:M322">SUM(E317-K317)</f>
        <v>0.02</v>
      </c>
      <c r="N317" s="17"/>
      <c r="O317" s="131">
        <v>0</v>
      </c>
      <c r="P317" s="18">
        <f aca="true" t="shared" si="155" ref="P317:P322">SUM(O317*84)*(1.25)/1000000</f>
        <v>0</v>
      </c>
      <c r="Q317" s="18">
        <f aca="true" t="shared" si="156" ref="Q317:Q322">SUM(O317*84)/1000000</f>
        <v>0</v>
      </c>
      <c r="R317" s="18">
        <f aca="true" t="shared" si="157" ref="R317:R322">SUM(E317*0.06)</f>
        <v>0.0012</v>
      </c>
      <c r="S317" s="17"/>
      <c r="T317" s="18">
        <f aca="true" t="shared" si="158" ref="T317:T322">SUM(D317+P317)-(R317+S317)</f>
        <v>0.0988</v>
      </c>
      <c r="U317" s="46">
        <f aca="true" t="shared" si="159" ref="U317:U322">SUM(E317+Q317)-(R317+S317)</f>
        <v>0.0188</v>
      </c>
      <c r="V317" s="50" t="s">
        <v>128</v>
      </c>
      <c r="W317" s="50" t="s">
        <v>144</v>
      </c>
      <c r="X317" s="50"/>
      <c r="Y317" s="50"/>
      <c r="Z317" s="17"/>
      <c r="AA317" s="18">
        <f aca="true" t="shared" si="160" ref="AA317:AA322">K317+Z317</f>
        <v>0</v>
      </c>
      <c r="AB317" s="18">
        <f aca="true" t="shared" si="161" ref="AB317:AB322">SUM(U317)</f>
        <v>0.0188</v>
      </c>
      <c r="AC317" s="37">
        <f aca="true" t="shared" si="162" ref="AC317:AC322">SUM(U317*0.7)</f>
        <v>0.01316</v>
      </c>
      <c r="AD317" s="62">
        <f aca="true" t="shared" si="163" ref="AD317:AD322">SUM(AC317-K317)</f>
        <v>0.01316</v>
      </c>
      <c r="AE317" s="58">
        <f aca="true" t="shared" si="164" ref="AE317:AE322">SUM(AD317*0.7)</f>
        <v>0.009212</v>
      </c>
      <c r="AF317" s="17" t="s">
        <v>105</v>
      </c>
    </row>
    <row r="318" spans="1:32" ht="12.75">
      <c r="A318" s="16" t="s">
        <v>28</v>
      </c>
      <c r="B318" s="16" t="s">
        <v>156</v>
      </c>
      <c r="C318" s="17" t="s">
        <v>139</v>
      </c>
      <c r="D318" s="18">
        <v>0.7</v>
      </c>
      <c r="E318" s="46">
        <v>0.37</v>
      </c>
      <c r="F318" s="17" t="s">
        <v>169</v>
      </c>
      <c r="G318" s="17" t="s">
        <v>129</v>
      </c>
      <c r="H318" s="18">
        <v>0</v>
      </c>
      <c r="I318" s="17"/>
      <c r="J318" s="18">
        <v>0</v>
      </c>
      <c r="K318" s="37">
        <v>0</v>
      </c>
      <c r="L318" s="18">
        <f t="shared" si="153"/>
        <v>0.7</v>
      </c>
      <c r="M318" s="47">
        <f t="shared" si="154"/>
        <v>0.37</v>
      </c>
      <c r="N318" s="17"/>
      <c r="O318" s="131">
        <v>5703</v>
      </c>
      <c r="P318" s="18">
        <f t="shared" si="155"/>
        <v>0.598815</v>
      </c>
      <c r="Q318" s="18">
        <f t="shared" si="156"/>
        <v>0.479052</v>
      </c>
      <c r="R318" s="18">
        <f t="shared" si="157"/>
        <v>0.022199999999999998</v>
      </c>
      <c r="S318" s="17"/>
      <c r="T318" s="18">
        <f t="shared" si="158"/>
        <v>1.2766149999999998</v>
      </c>
      <c r="U318" s="46">
        <f t="shared" si="159"/>
        <v>0.8268519999999999</v>
      </c>
      <c r="V318" s="50" t="s">
        <v>128</v>
      </c>
      <c r="W318" s="50" t="s">
        <v>144</v>
      </c>
      <c r="X318" s="50"/>
      <c r="Y318" s="50"/>
      <c r="Z318" s="17"/>
      <c r="AA318" s="18">
        <f t="shared" si="160"/>
        <v>0</v>
      </c>
      <c r="AB318" s="18">
        <f t="shared" si="161"/>
        <v>0.8268519999999999</v>
      </c>
      <c r="AC318" s="37">
        <f t="shared" si="162"/>
        <v>0.5787963999999999</v>
      </c>
      <c r="AD318" s="62">
        <f t="shared" si="163"/>
        <v>0.5787963999999999</v>
      </c>
      <c r="AE318" s="58">
        <f t="shared" si="164"/>
        <v>0.4051574799999999</v>
      </c>
      <c r="AF318" s="17" t="s">
        <v>105</v>
      </c>
    </row>
    <row r="319" spans="1:32" ht="12.75">
      <c r="A319" s="16" t="s">
        <v>326</v>
      </c>
      <c r="B319" s="16" t="s">
        <v>156</v>
      </c>
      <c r="C319" s="17" t="s">
        <v>139</v>
      </c>
      <c r="D319" s="18">
        <v>0.25</v>
      </c>
      <c r="E319" s="46">
        <v>0.04</v>
      </c>
      <c r="F319" s="17" t="s">
        <v>169</v>
      </c>
      <c r="G319" s="17" t="s">
        <v>129</v>
      </c>
      <c r="H319" s="18">
        <v>0</v>
      </c>
      <c r="I319" s="17"/>
      <c r="J319" s="18">
        <v>0</v>
      </c>
      <c r="K319" s="37">
        <v>0</v>
      </c>
      <c r="L319" s="18">
        <f t="shared" si="153"/>
        <v>0.25</v>
      </c>
      <c r="M319" s="47">
        <f t="shared" si="154"/>
        <v>0.04</v>
      </c>
      <c r="N319" s="17"/>
      <c r="O319" s="131">
        <v>0</v>
      </c>
      <c r="P319" s="18">
        <f t="shared" si="155"/>
        <v>0</v>
      </c>
      <c r="Q319" s="18">
        <f t="shared" si="156"/>
        <v>0</v>
      </c>
      <c r="R319" s="18">
        <f t="shared" si="157"/>
        <v>0.0024</v>
      </c>
      <c r="S319" s="17"/>
      <c r="T319" s="18">
        <f t="shared" si="158"/>
        <v>0.2476</v>
      </c>
      <c r="U319" s="46">
        <f t="shared" si="159"/>
        <v>0.0376</v>
      </c>
      <c r="V319" s="50" t="s">
        <v>128</v>
      </c>
      <c r="W319" s="50" t="s">
        <v>144</v>
      </c>
      <c r="X319" s="50"/>
      <c r="Y319" s="50"/>
      <c r="Z319" s="17"/>
      <c r="AA319" s="18">
        <f t="shared" si="160"/>
        <v>0</v>
      </c>
      <c r="AB319" s="18">
        <f t="shared" si="161"/>
        <v>0.0376</v>
      </c>
      <c r="AC319" s="37">
        <f t="shared" si="162"/>
        <v>0.02632</v>
      </c>
      <c r="AD319" s="62">
        <f t="shared" si="163"/>
        <v>0.02632</v>
      </c>
      <c r="AE319" s="58">
        <f t="shared" si="164"/>
        <v>0.018424</v>
      </c>
      <c r="AF319" s="17" t="s">
        <v>409</v>
      </c>
    </row>
    <row r="320" spans="1:32" ht="12.75">
      <c r="A320" s="16" t="s">
        <v>29</v>
      </c>
      <c r="B320" s="16" t="s">
        <v>156</v>
      </c>
      <c r="C320" s="17" t="s">
        <v>139</v>
      </c>
      <c r="D320" s="18">
        <v>1.5</v>
      </c>
      <c r="E320" s="46">
        <v>0.77</v>
      </c>
      <c r="F320" s="17" t="s">
        <v>169</v>
      </c>
      <c r="G320" s="17" t="s">
        <v>129</v>
      </c>
      <c r="H320" s="18">
        <v>0</v>
      </c>
      <c r="I320" s="17"/>
      <c r="J320" s="18">
        <v>0</v>
      </c>
      <c r="K320" s="37">
        <v>0</v>
      </c>
      <c r="L320" s="18">
        <f t="shared" si="153"/>
        <v>1.5</v>
      </c>
      <c r="M320" s="47">
        <f t="shared" si="154"/>
        <v>0.77</v>
      </c>
      <c r="N320" s="17"/>
      <c r="O320" s="131">
        <v>6008</v>
      </c>
      <c r="P320" s="18">
        <f t="shared" si="155"/>
        <v>0.63084</v>
      </c>
      <c r="Q320" s="18">
        <f t="shared" si="156"/>
        <v>0.504672</v>
      </c>
      <c r="R320" s="18">
        <f t="shared" si="157"/>
        <v>0.0462</v>
      </c>
      <c r="S320" s="17"/>
      <c r="T320" s="18">
        <f t="shared" si="158"/>
        <v>2.0846400000000003</v>
      </c>
      <c r="U320" s="46">
        <f t="shared" si="159"/>
        <v>1.228472</v>
      </c>
      <c r="V320" s="50" t="s">
        <v>128</v>
      </c>
      <c r="W320" s="50" t="s">
        <v>144</v>
      </c>
      <c r="X320" s="50"/>
      <c r="Y320" s="50"/>
      <c r="Z320" s="17"/>
      <c r="AA320" s="18">
        <f t="shared" si="160"/>
        <v>0</v>
      </c>
      <c r="AB320" s="18">
        <f t="shared" si="161"/>
        <v>1.228472</v>
      </c>
      <c r="AC320" s="37">
        <f t="shared" si="162"/>
        <v>0.8599304</v>
      </c>
      <c r="AD320" s="62">
        <f t="shared" si="163"/>
        <v>0.8599304</v>
      </c>
      <c r="AE320" s="58">
        <f t="shared" si="164"/>
        <v>0.60195128</v>
      </c>
      <c r="AF320" s="17">
        <v>1</v>
      </c>
    </row>
    <row r="321" spans="1:32" ht="12.75">
      <c r="A321" s="16" t="s">
        <v>325</v>
      </c>
      <c r="B321" s="16" t="s">
        <v>156</v>
      </c>
      <c r="C321" s="17" t="s">
        <v>139</v>
      </c>
      <c r="D321" s="18">
        <v>0.2</v>
      </c>
      <c r="E321" s="46">
        <v>0.07</v>
      </c>
      <c r="F321" s="17" t="s">
        <v>169</v>
      </c>
      <c r="G321" s="17" t="s">
        <v>129</v>
      </c>
      <c r="H321" s="18">
        <v>0</v>
      </c>
      <c r="I321" s="17"/>
      <c r="J321" s="18">
        <v>0</v>
      </c>
      <c r="K321" s="37">
        <v>0</v>
      </c>
      <c r="L321" s="18">
        <f t="shared" si="153"/>
        <v>0.2</v>
      </c>
      <c r="M321" s="47">
        <f t="shared" si="154"/>
        <v>0.07</v>
      </c>
      <c r="N321" s="17"/>
      <c r="O321" s="131">
        <v>0</v>
      </c>
      <c r="P321" s="18">
        <f t="shared" si="155"/>
        <v>0</v>
      </c>
      <c r="Q321" s="18">
        <f t="shared" si="156"/>
        <v>0</v>
      </c>
      <c r="R321" s="18">
        <f t="shared" si="157"/>
        <v>0.004200000000000001</v>
      </c>
      <c r="S321" s="17"/>
      <c r="T321" s="18">
        <f t="shared" si="158"/>
        <v>0.1958</v>
      </c>
      <c r="U321" s="46">
        <f t="shared" si="159"/>
        <v>0.06580000000000001</v>
      </c>
      <c r="V321" s="50" t="s">
        <v>128</v>
      </c>
      <c r="W321" s="50" t="s">
        <v>144</v>
      </c>
      <c r="X321" s="50"/>
      <c r="Y321" s="50"/>
      <c r="Z321" s="17"/>
      <c r="AA321" s="18">
        <f t="shared" si="160"/>
        <v>0</v>
      </c>
      <c r="AB321" s="18">
        <f t="shared" si="161"/>
        <v>0.06580000000000001</v>
      </c>
      <c r="AC321" s="37">
        <f t="shared" si="162"/>
        <v>0.046060000000000004</v>
      </c>
      <c r="AD321" s="62">
        <f t="shared" si="163"/>
        <v>0.046060000000000004</v>
      </c>
      <c r="AE321" s="58">
        <f t="shared" si="164"/>
        <v>0.032242</v>
      </c>
      <c r="AF321" s="17" t="s">
        <v>409</v>
      </c>
    </row>
    <row r="322" spans="1:32" ht="12.75">
      <c r="A322" s="16" t="s">
        <v>148</v>
      </c>
      <c r="B322" s="16" t="s">
        <v>156</v>
      </c>
      <c r="C322" s="17" t="s">
        <v>139</v>
      </c>
      <c r="D322" s="18">
        <v>0.2</v>
      </c>
      <c r="E322" s="46">
        <v>0.05</v>
      </c>
      <c r="F322" s="17" t="s">
        <v>169</v>
      </c>
      <c r="G322" s="17" t="s">
        <v>129</v>
      </c>
      <c r="H322" s="18">
        <v>0</v>
      </c>
      <c r="I322" s="17"/>
      <c r="J322" s="18">
        <v>0</v>
      </c>
      <c r="K322" s="37">
        <v>0</v>
      </c>
      <c r="L322" s="18">
        <f t="shared" si="153"/>
        <v>0.2</v>
      </c>
      <c r="M322" s="47">
        <f t="shared" si="154"/>
        <v>0.05</v>
      </c>
      <c r="N322" s="17"/>
      <c r="O322" s="131">
        <v>1403</v>
      </c>
      <c r="P322" s="18">
        <f t="shared" si="155"/>
        <v>0.147315</v>
      </c>
      <c r="Q322" s="18">
        <f t="shared" si="156"/>
        <v>0.117852</v>
      </c>
      <c r="R322" s="18">
        <f t="shared" si="157"/>
        <v>0.003</v>
      </c>
      <c r="S322" s="17"/>
      <c r="T322" s="18">
        <f t="shared" si="158"/>
        <v>0.34431500000000004</v>
      </c>
      <c r="U322" s="46">
        <f t="shared" si="159"/>
        <v>0.164852</v>
      </c>
      <c r="V322" s="50" t="s">
        <v>128</v>
      </c>
      <c r="W322" s="50" t="s">
        <v>144</v>
      </c>
      <c r="X322" s="50"/>
      <c r="Y322" s="50"/>
      <c r="Z322" s="17">
        <v>0.12</v>
      </c>
      <c r="AA322" s="18">
        <f t="shared" si="160"/>
        <v>0.12</v>
      </c>
      <c r="AB322" s="18">
        <f t="shared" si="161"/>
        <v>0.164852</v>
      </c>
      <c r="AC322" s="37">
        <f t="shared" si="162"/>
        <v>0.1153964</v>
      </c>
      <c r="AD322" s="62">
        <f t="shared" si="163"/>
        <v>0.1153964</v>
      </c>
      <c r="AE322" s="58">
        <f t="shared" si="164"/>
        <v>0.08077748</v>
      </c>
      <c r="AF322" s="17" t="s">
        <v>392</v>
      </c>
    </row>
    <row r="323" spans="1:32" ht="15">
      <c r="A323" s="14" t="s">
        <v>30</v>
      </c>
      <c r="B323" s="14"/>
      <c r="C323" s="15"/>
      <c r="D323" s="51"/>
      <c r="E323" s="51"/>
      <c r="F323" s="15"/>
      <c r="G323" s="15"/>
      <c r="H323" s="15"/>
      <c r="I323" s="15"/>
      <c r="J323" s="51"/>
      <c r="K323" s="51"/>
      <c r="L323" s="51"/>
      <c r="M323" s="52"/>
      <c r="N323" s="15"/>
      <c r="O323" s="67"/>
      <c r="P323" s="15"/>
      <c r="Q323" s="15"/>
      <c r="R323" s="15"/>
      <c r="S323" s="15"/>
      <c r="T323" s="15"/>
      <c r="U323" s="53"/>
      <c r="V323" s="53"/>
      <c r="W323" s="53"/>
      <c r="X323" s="53"/>
      <c r="Y323" s="53"/>
      <c r="Z323" s="15"/>
      <c r="AA323" s="52"/>
      <c r="AB323" s="15"/>
      <c r="AC323" s="15"/>
      <c r="AD323" s="15"/>
      <c r="AE323" s="15"/>
      <c r="AF323" s="15"/>
    </row>
    <row r="324" spans="1:32" ht="15">
      <c r="A324" s="16" t="s">
        <v>13</v>
      </c>
      <c r="B324" s="16"/>
      <c r="C324" s="17">
        <v>6</v>
      </c>
      <c r="D324" s="18">
        <f>SUM(D317:D322)</f>
        <v>2.95</v>
      </c>
      <c r="E324" s="46">
        <f>SUM(E317:E322)</f>
        <v>1.32</v>
      </c>
      <c r="F324" s="17"/>
      <c r="G324" s="17"/>
      <c r="H324" s="18">
        <f>SUM(H317:H322)</f>
        <v>0</v>
      </c>
      <c r="I324" s="17"/>
      <c r="J324" s="18">
        <f>SUM(J317:J322)</f>
        <v>0</v>
      </c>
      <c r="K324" s="37">
        <f>SUM(K317:K322)</f>
        <v>0</v>
      </c>
      <c r="L324" s="18">
        <f>SUM(L317:L322)</f>
        <v>2.95</v>
      </c>
      <c r="M324" s="47">
        <f>SUM(M317:M322)</f>
        <v>1.32</v>
      </c>
      <c r="N324" s="17"/>
      <c r="O324" s="131">
        <f aca="true" t="shared" si="165" ref="O324:U324">SUM(O317:O322)</f>
        <v>13114</v>
      </c>
      <c r="P324" s="18">
        <f t="shared" si="165"/>
        <v>1.37697</v>
      </c>
      <c r="Q324" s="18">
        <f t="shared" si="165"/>
        <v>1.101576</v>
      </c>
      <c r="R324" s="18">
        <f t="shared" si="165"/>
        <v>0.07919999999999999</v>
      </c>
      <c r="S324" s="18">
        <f t="shared" si="165"/>
        <v>0</v>
      </c>
      <c r="T324" s="18">
        <f t="shared" si="165"/>
        <v>4.24777</v>
      </c>
      <c r="U324" s="46">
        <f t="shared" si="165"/>
        <v>2.342376</v>
      </c>
      <c r="V324" s="43"/>
      <c r="W324" s="43"/>
      <c r="X324" s="43"/>
      <c r="Y324" s="43"/>
      <c r="Z324" s="18">
        <f aca="true" t="shared" si="166" ref="Z324:AE324">SUM(Z317:Z322)</f>
        <v>0.12</v>
      </c>
      <c r="AA324" s="18">
        <f t="shared" si="166"/>
        <v>0.12</v>
      </c>
      <c r="AB324" s="18">
        <f t="shared" si="166"/>
        <v>2.342376</v>
      </c>
      <c r="AC324" s="37">
        <f t="shared" si="166"/>
        <v>1.6396631999999998</v>
      </c>
      <c r="AD324" s="62">
        <f t="shared" si="166"/>
        <v>1.6396631999999998</v>
      </c>
      <c r="AE324" s="58">
        <f t="shared" si="166"/>
        <v>1.14776424</v>
      </c>
      <c r="AF324" s="20"/>
    </row>
    <row r="325" spans="1:32" ht="15.75" thickBot="1">
      <c r="A325" s="22" t="s">
        <v>14</v>
      </c>
      <c r="B325" s="22"/>
      <c r="C325" s="23">
        <v>0</v>
      </c>
      <c r="D325" s="24">
        <v>0</v>
      </c>
      <c r="E325" s="132">
        <v>0</v>
      </c>
      <c r="F325" s="23"/>
      <c r="G325" s="23"/>
      <c r="H325" s="24">
        <v>0</v>
      </c>
      <c r="I325" s="23"/>
      <c r="J325" s="24">
        <v>0</v>
      </c>
      <c r="K325" s="133">
        <v>0</v>
      </c>
      <c r="L325" s="24">
        <v>0</v>
      </c>
      <c r="M325" s="47">
        <v>0</v>
      </c>
      <c r="N325" s="23"/>
      <c r="O325" s="69">
        <v>0</v>
      </c>
      <c r="P325" s="23"/>
      <c r="Q325" s="23"/>
      <c r="R325" s="24">
        <v>0</v>
      </c>
      <c r="S325" s="24">
        <v>0</v>
      </c>
      <c r="T325" s="24">
        <v>0</v>
      </c>
      <c r="U325" s="132">
        <v>0</v>
      </c>
      <c r="V325" s="45"/>
      <c r="W325" s="45"/>
      <c r="X325" s="45"/>
      <c r="Y325" s="45"/>
      <c r="Z325" s="24">
        <v>0</v>
      </c>
      <c r="AA325" s="18">
        <f>K325+Z325</f>
        <v>0</v>
      </c>
      <c r="AB325" s="24">
        <v>0</v>
      </c>
      <c r="AC325" s="133">
        <v>0</v>
      </c>
      <c r="AD325" s="117">
        <v>0</v>
      </c>
      <c r="AE325" s="59">
        <v>0</v>
      </c>
      <c r="AF325" s="25"/>
    </row>
    <row r="326" spans="1:32" ht="15.75" thickBot="1">
      <c r="A326" s="26" t="s">
        <v>15</v>
      </c>
      <c r="B326" s="65"/>
      <c r="C326" s="175">
        <f>SUM(C324:C325)</f>
        <v>6</v>
      </c>
      <c r="D326" s="33">
        <f>SUM(D324:D325)</f>
        <v>2.95</v>
      </c>
      <c r="E326" s="134">
        <f>SUM(E324:E325)</f>
        <v>1.32</v>
      </c>
      <c r="F326" s="27"/>
      <c r="G326" s="27"/>
      <c r="H326" s="33">
        <f>SUM(H324:H325)</f>
        <v>0</v>
      </c>
      <c r="I326" s="135">
        <f>(H326/E326)</f>
        <v>0</v>
      </c>
      <c r="J326" s="33">
        <f>SUM(J324:J325)</f>
        <v>0</v>
      </c>
      <c r="K326" s="136">
        <f>SUM(K324:K325)</f>
        <v>0</v>
      </c>
      <c r="L326" s="33">
        <f>SUM(L324:L325)</f>
        <v>2.95</v>
      </c>
      <c r="M326" s="48">
        <f>SUM(M324:M325)</f>
        <v>1.32</v>
      </c>
      <c r="N326" s="27"/>
      <c r="O326" s="138">
        <f>SUM(O324+O325)</f>
        <v>13114</v>
      </c>
      <c r="P326" s="33">
        <f aca="true" t="shared" si="167" ref="P326:U326">SUM(P324:P325)</f>
        <v>1.37697</v>
      </c>
      <c r="Q326" s="33">
        <f t="shared" si="167"/>
        <v>1.101576</v>
      </c>
      <c r="R326" s="33">
        <f t="shared" si="167"/>
        <v>0.07919999999999999</v>
      </c>
      <c r="S326" s="33">
        <f t="shared" si="167"/>
        <v>0</v>
      </c>
      <c r="T326" s="33">
        <f t="shared" si="167"/>
        <v>4.24777</v>
      </c>
      <c r="U326" s="134">
        <f t="shared" si="167"/>
        <v>2.342376</v>
      </c>
      <c r="V326" s="33"/>
      <c r="W326" s="33"/>
      <c r="X326" s="33">
        <v>0</v>
      </c>
      <c r="Y326" s="135">
        <f>SUM(X326/U326)</f>
        <v>0</v>
      </c>
      <c r="Z326" s="33">
        <f aca="true" t="shared" si="168" ref="Z326:AE326">SUM(Z324:Z325)</f>
        <v>0.12</v>
      </c>
      <c r="AA326" s="33">
        <f t="shared" si="168"/>
        <v>0.12</v>
      </c>
      <c r="AB326" s="33">
        <f t="shared" si="168"/>
        <v>2.342376</v>
      </c>
      <c r="AC326" s="136">
        <f t="shared" si="168"/>
        <v>1.6396631999999998</v>
      </c>
      <c r="AD326" s="118">
        <f t="shared" si="168"/>
        <v>1.6396631999999998</v>
      </c>
      <c r="AE326" s="60">
        <f t="shared" si="168"/>
        <v>1.14776424</v>
      </c>
      <c r="AF326" s="31"/>
    </row>
    <row r="327" spans="1:32" ht="14.25">
      <c r="A327" s="77" t="s">
        <v>182</v>
      </c>
      <c r="B327" s="77"/>
      <c r="C327" s="76"/>
      <c r="D327" s="75"/>
      <c r="E327" s="75"/>
      <c r="F327" s="76"/>
      <c r="G327" s="76"/>
      <c r="H327" s="76"/>
      <c r="I327" s="76"/>
      <c r="J327" s="75"/>
      <c r="K327" s="76"/>
      <c r="L327" s="75"/>
      <c r="M327" s="76"/>
      <c r="N327" s="76"/>
      <c r="O327" s="73">
        <v>22189</v>
      </c>
      <c r="P327" s="75"/>
      <c r="Q327" s="75"/>
      <c r="R327" s="75"/>
      <c r="S327" s="75"/>
      <c r="T327" s="75"/>
      <c r="U327" s="75"/>
      <c r="V327" s="75"/>
      <c r="W327" s="75"/>
      <c r="X327" s="75"/>
      <c r="Y327" s="75"/>
      <c r="Z327" s="75"/>
      <c r="AA327" s="75"/>
      <c r="AB327" s="75"/>
      <c r="AC327" s="75"/>
      <c r="AD327" s="75"/>
      <c r="AE327" s="75"/>
      <c r="AF327" s="5" t="s">
        <v>265</v>
      </c>
    </row>
    <row r="328" spans="1:32" ht="12.75">
      <c r="A328" s="77" t="s">
        <v>173</v>
      </c>
      <c r="B328" s="77"/>
      <c r="C328" s="76"/>
      <c r="D328" s="75"/>
      <c r="E328" s="75"/>
      <c r="F328" s="76"/>
      <c r="G328" s="76"/>
      <c r="H328" s="76"/>
      <c r="I328" s="76"/>
      <c r="J328" s="75"/>
      <c r="K328" s="76"/>
      <c r="L328" s="75"/>
      <c r="M328" s="76"/>
      <c r="N328" s="76"/>
      <c r="O328" s="74">
        <f>SUM(O326/O327)</f>
        <v>0.5910135652800937</v>
      </c>
      <c r="P328" s="75"/>
      <c r="Q328" s="75"/>
      <c r="R328" s="75"/>
      <c r="S328" s="75"/>
      <c r="T328" s="75"/>
      <c r="U328" s="75"/>
      <c r="V328" s="75"/>
      <c r="W328" s="75"/>
      <c r="X328" s="75"/>
      <c r="Y328" s="75"/>
      <c r="Z328" s="75"/>
      <c r="AA328" s="75"/>
      <c r="AB328" s="75"/>
      <c r="AC328" s="75"/>
      <c r="AD328" s="75"/>
      <c r="AE328" s="75"/>
      <c r="AF328" s="5"/>
    </row>
    <row r="329" spans="1:32" ht="15">
      <c r="A329" s="4"/>
      <c r="B329" s="4"/>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6"/>
    </row>
    <row r="330" spans="1:32" ht="15" customHeight="1">
      <c r="A330" s="206"/>
      <c r="B330" s="64"/>
      <c r="C330" s="10"/>
      <c r="D330" s="198" t="s">
        <v>285</v>
      </c>
      <c r="E330" s="198"/>
      <c r="F330" s="199" t="s">
        <v>286</v>
      </c>
      <c r="G330" s="199"/>
      <c r="H330" s="113" t="s">
        <v>131</v>
      </c>
      <c r="I330" s="109">
        <v>2010</v>
      </c>
      <c r="J330" s="208" t="s">
        <v>287</v>
      </c>
      <c r="K330" s="208"/>
      <c r="L330" s="209" t="s">
        <v>288</v>
      </c>
      <c r="M330" s="209"/>
      <c r="N330" s="10">
        <v>2010</v>
      </c>
      <c r="O330" s="68" t="s">
        <v>289</v>
      </c>
      <c r="P330" s="199" t="s">
        <v>290</v>
      </c>
      <c r="Q330" s="199"/>
      <c r="R330" s="199" t="s">
        <v>291</v>
      </c>
      <c r="S330" s="199"/>
      <c r="T330" s="198" t="s">
        <v>292</v>
      </c>
      <c r="U330" s="198"/>
      <c r="V330" s="199" t="s">
        <v>293</v>
      </c>
      <c r="W330" s="199"/>
      <c r="X330" s="114" t="s">
        <v>298</v>
      </c>
      <c r="Y330" s="114" t="s">
        <v>299</v>
      </c>
      <c r="Z330" s="200" t="s">
        <v>294</v>
      </c>
      <c r="AA330" s="40">
        <v>2020</v>
      </c>
      <c r="AB330" s="207" t="s">
        <v>295</v>
      </c>
      <c r="AC330" s="208"/>
      <c r="AD330" s="61" t="s">
        <v>296</v>
      </c>
      <c r="AE330" s="57" t="s">
        <v>296</v>
      </c>
      <c r="AF330" s="10"/>
    </row>
    <row r="331" spans="1:32" ht="12.75">
      <c r="A331" s="206"/>
      <c r="B331" s="66" t="s">
        <v>153</v>
      </c>
      <c r="C331" s="10" t="s">
        <v>0</v>
      </c>
      <c r="D331" s="198"/>
      <c r="E331" s="198"/>
      <c r="F331" s="199"/>
      <c r="G331" s="199"/>
      <c r="H331" s="113"/>
      <c r="I331" s="109" t="s">
        <v>131</v>
      </c>
      <c r="J331" s="208"/>
      <c r="K331" s="208"/>
      <c r="L331" s="209"/>
      <c r="M331" s="209"/>
      <c r="N331" s="10" t="s">
        <v>2</v>
      </c>
      <c r="O331" s="68" t="s">
        <v>161</v>
      </c>
      <c r="P331" s="199"/>
      <c r="Q331" s="199"/>
      <c r="R331" s="199"/>
      <c r="S331" s="199"/>
      <c r="T331" s="198"/>
      <c r="U331" s="198"/>
      <c r="V331" s="199"/>
      <c r="W331" s="199"/>
      <c r="X331" s="114" t="s">
        <v>131</v>
      </c>
      <c r="Y331" s="114"/>
      <c r="Z331" s="201"/>
      <c r="AA331" s="41" t="s">
        <v>145</v>
      </c>
      <c r="AB331" s="207"/>
      <c r="AC331" s="208"/>
      <c r="AD331" s="61" t="s">
        <v>145</v>
      </c>
      <c r="AE331" s="57" t="s">
        <v>297</v>
      </c>
      <c r="AF331" s="10" t="s">
        <v>3</v>
      </c>
    </row>
    <row r="332" spans="1:32" ht="14.25">
      <c r="A332" s="206"/>
      <c r="B332" s="66" t="s">
        <v>151</v>
      </c>
      <c r="C332" s="10" t="s">
        <v>1</v>
      </c>
      <c r="D332" s="198"/>
      <c r="E332" s="198"/>
      <c r="F332" s="199"/>
      <c r="G332" s="199"/>
      <c r="H332" s="113"/>
      <c r="I332" s="109"/>
      <c r="J332" s="208"/>
      <c r="K332" s="208"/>
      <c r="L332" s="209"/>
      <c r="M332" s="209"/>
      <c r="N332" s="10" t="s">
        <v>97</v>
      </c>
      <c r="O332" s="68" t="s">
        <v>270</v>
      </c>
      <c r="P332" s="199"/>
      <c r="Q332" s="199"/>
      <c r="R332" s="199"/>
      <c r="S332" s="199"/>
      <c r="T332" s="198"/>
      <c r="U332" s="198"/>
      <c r="V332" s="199"/>
      <c r="W332" s="199"/>
      <c r="X332" s="109"/>
      <c r="Y332" s="109"/>
      <c r="Z332" s="202"/>
      <c r="AA332" s="39" t="s">
        <v>143</v>
      </c>
      <c r="AB332" s="208"/>
      <c r="AC332" s="208"/>
      <c r="AD332" s="61"/>
      <c r="AE332" s="57"/>
      <c r="AF332" s="125"/>
    </row>
    <row r="333" spans="1:32" ht="52.5">
      <c r="A333" s="78" t="s">
        <v>216</v>
      </c>
      <c r="B333" s="10" t="s">
        <v>154</v>
      </c>
      <c r="C333" s="10" t="s">
        <v>302</v>
      </c>
      <c r="D333" s="10" t="s">
        <v>5</v>
      </c>
      <c r="E333" s="101" t="s">
        <v>7</v>
      </c>
      <c r="F333" s="10"/>
      <c r="G333" s="10"/>
      <c r="H333" s="113" t="s">
        <v>7</v>
      </c>
      <c r="I333" s="109"/>
      <c r="J333" s="10" t="s">
        <v>5</v>
      </c>
      <c r="K333" s="106" t="s">
        <v>277</v>
      </c>
      <c r="L333" s="10" t="s">
        <v>5</v>
      </c>
      <c r="M333" s="102" t="s">
        <v>7</v>
      </c>
      <c r="N333" s="10"/>
      <c r="O333" s="91"/>
      <c r="P333" s="10" t="s">
        <v>5</v>
      </c>
      <c r="Q333" s="10" t="s">
        <v>7</v>
      </c>
      <c r="R333" s="10" t="s">
        <v>272</v>
      </c>
      <c r="S333" s="10" t="s">
        <v>273</v>
      </c>
      <c r="T333" s="10" t="s">
        <v>5</v>
      </c>
      <c r="U333" s="101" t="s">
        <v>7</v>
      </c>
      <c r="V333" s="10" t="s">
        <v>95</v>
      </c>
      <c r="W333" s="10" t="s">
        <v>96</v>
      </c>
      <c r="X333" s="109"/>
      <c r="Y333" s="109"/>
      <c r="Z333" s="10"/>
      <c r="AA333" s="10"/>
      <c r="AB333" s="10" t="s">
        <v>5</v>
      </c>
      <c r="AC333" s="99" t="s">
        <v>340</v>
      </c>
      <c r="AD333" s="92" t="s">
        <v>340</v>
      </c>
      <c r="AE333" s="93" t="s">
        <v>341</v>
      </c>
      <c r="AF333" s="125"/>
    </row>
    <row r="334" spans="1:32" ht="12.75">
      <c r="A334" s="10"/>
      <c r="B334" s="10"/>
      <c r="C334" s="125"/>
      <c r="D334" s="10" t="s">
        <v>6</v>
      </c>
      <c r="E334" s="101" t="s">
        <v>6</v>
      </c>
      <c r="F334" s="10"/>
      <c r="G334" s="10"/>
      <c r="H334" s="113" t="s">
        <v>6</v>
      </c>
      <c r="I334" s="109" t="s">
        <v>300</v>
      </c>
      <c r="J334" s="10" t="s">
        <v>6</v>
      </c>
      <c r="K334" s="99" t="s">
        <v>6</v>
      </c>
      <c r="L334" s="10" t="s">
        <v>6</v>
      </c>
      <c r="M334" s="102" t="s">
        <v>6</v>
      </c>
      <c r="N334" s="125"/>
      <c r="O334" s="142"/>
      <c r="P334" s="10" t="s">
        <v>6</v>
      </c>
      <c r="Q334" s="10" t="s">
        <v>6</v>
      </c>
      <c r="R334" s="10" t="s">
        <v>6</v>
      </c>
      <c r="S334" s="10" t="s">
        <v>6</v>
      </c>
      <c r="T334" s="10" t="s">
        <v>6</v>
      </c>
      <c r="U334" s="101" t="s">
        <v>6</v>
      </c>
      <c r="V334" s="10"/>
      <c r="W334" s="10"/>
      <c r="X334" s="109" t="s">
        <v>6</v>
      </c>
      <c r="Y334" s="109" t="s">
        <v>300</v>
      </c>
      <c r="Z334" s="10" t="s">
        <v>6</v>
      </c>
      <c r="AA334" s="10" t="s">
        <v>6</v>
      </c>
      <c r="AB334" s="10" t="s">
        <v>6</v>
      </c>
      <c r="AC334" s="99" t="s">
        <v>6</v>
      </c>
      <c r="AD334" s="92" t="s">
        <v>6</v>
      </c>
      <c r="AE334" s="93" t="s">
        <v>6</v>
      </c>
      <c r="AF334" s="125"/>
    </row>
    <row r="335" spans="1:32" ht="12.75">
      <c r="A335" s="79" t="s">
        <v>13</v>
      </c>
      <c r="B335" s="16" t="s">
        <v>156</v>
      </c>
      <c r="C335" s="10">
        <f>SUM(C284+C304+C324)</f>
        <v>40</v>
      </c>
      <c r="D335" s="10">
        <f>SUM(D284+D304+D324)</f>
        <v>62.990000000000016</v>
      </c>
      <c r="E335" s="148">
        <f>SUM(E284+E304+E324)</f>
        <v>31.949999999999992</v>
      </c>
      <c r="F335" s="40"/>
      <c r="G335" s="40"/>
      <c r="H335" s="10">
        <f>SUM(H284+H304+H324)</f>
        <v>15.49</v>
      </c>
      <c r="I335" s="10"/>
      <c r="J335" s="10">
        <f>SUM(J284+J304+J324)</f>
        <v>26.95</v>
      </c>
      <c r="K335" s="89">
        <f>SUM(K284,K304,K324)</f>
        <v>12.09</v>
      </c>
      <c r="L335" s="10">
        <f>SUM(L284+L304+L324)</f>
        <v>62.990000000000016</v>
      </c>
      <c r="M335" s="86">
        <f>SUM(M284,M304,M324)</f>
        <v>22.239999999999995</v>
      </c>
      <c r="N335" s="40"/>
      <c r="O335" s="147">
        <f>SUM(O284,O304,O324)</f>
        <v>252950</v>
      </c>
      <c r="P335" s="38">
        <f aca="true" t="shared" si="169" ref="P335:T336">SUM(P284+P304+P324)</f>
        <v>26.559750000000005</v>
      </c>
      <c r="Q335" s="38">
        <f t="shared" si="169"/>
        <v>21.247800000000005</v>
      </c>
      <c r="R335" s="38">
        <f t="shared" si="169"/>
        <v>1.9169999999999996</v>
      </c>
      <c r="S335" s="38">
        <f t="shared" si="169"/>
        <v>0</v>
      </c>
      <c r="T335" s="38">
        <f t="shared" si="169"/>
        <v>87.63275</v>
      </c>
      <c r="U335" s="148">
        <f>SUM(U284,U304,U324)</f>
        <v>51.2808</v>
      </c>
      <c r="V335" s="40"/>
      <c r="W335" s="40"/>
      <c r="X335" s="40"/>
      <c r="Y335" s="40"/>
      <c r="Z335" s="38">
        <f aca="true" t="shared" si="170" ref="Z335:AB336">SUM(Z284+Z304+Z324)</f>
        <v>12.02</v>
      </c>
      <c r="AA335" s="38">
        <f t="shared" si="170"/>
        <v>24.110000000000003</v>
      </c>
      <c r="AB335" s="38">
        <f t="shared" si="170"/>
        <v>51.2808</v>
      </c>
      <c r="AC335" s="89">
        <f aca="true" t="shared" si="171" ref="AC335:AE336">SUM(AC284,AC304,AC324)</f>
        <v>45.835664400000006</v>
      </c>
      <c r="AD335" s="119">
        <f t="shared" si="171"/>
        <v>33.7456644</v>
      </c>
      <c r="AE335" s="146">
        <f t="shared" si="171"/>
        <v>28.457055479999998</v>
      </c>
      <c r="AF335" s="40"/>
    </row>
    <row r="336" spans="1:32" ht="16.5" thickBot="1">
      <c r="A336" s="80" t="s">
        <v>14</v>
      </c>
      <c r="B336" s="22" t="s">
        <v>156</v>
      </c>
      <c r="C336" s="10">
        <f>SUM(C285+C305+C325)</f>
        <v>0</v>
      </c>
      <c r="D336" s="38">
        <f>SUM(D285+D305+D325)</f>
        <v>0</v>
      </c>
      <c r="E336" s="148">
        <v>0</v>
      </c>
      <c r="F336" s="40"/>
      <c r="G336" s="40"/>
      <c r="H336" s="38">
        <f>SUM(H285+H305+H325)</f>
        <v>0</v>
      </c>
      <c r="I336" s="10"/>
      <c r="J336" s="38">
        <f>SUM(J285+J305+J325)</f>
        <v>0</v>
      </c>
      <c r="K336" s="89">
        <v>0</v>
      </c>
      <c r="L336" s="38">
        <f>SUM(L285+L305+L325)</f>
        <v>0</v>
      </c>
      <c r="M336" s="86">
        <f>SUM(M285,M305,M325)</f>
        <v>0</v>
      </c>
      <c r="N336" s="40"/>
      <c r="O336" s="147">
        <f>SUM(O285,O305,O325)</f>
        <v>0</v>
      </c>
      <c r="P336" s="38">
        <f t="shared" si="169"/>
        <v>0</v>
      </c>
      <c r="Q336" s="38">
        <f t="shared" si="169"/>
        <v>0</v>
      </c>
      <c r="R336" s="38">
        <f t="shared" si="169"/>
        <v>0</v>
      </c>
      <c r="S336" s="38">
        <f t="shared" si="169"/>
        <v>0</v>
      </c>
      <c r="T336" s="38">
        <f t="shared" si="169"/>
        <v>0</v>
      </c>
      <c r="U336" s="148">
        <f>SUM(U285,U305,U325)</f>
        <v>0</v>
      </c>
      <c r="V336" s="40"/>
      <c r="W336" s="40"/>
      <c r="X336" s="40"/>
      <c r="Y336" s="40"/>
      <c r="Z336" s="38">
        <f t="shared" si="170"/>
        <v>0</v>
      </c>
      <c r="AA336" s="38">
        <f t="shared" si="170"/>
        <v>0</v>
      </c>
      <c r="AB336" s="38">
        <f t="shared" si="170"/>
        <v>0</v>
      </c>
      <c r="AC336" s="89">
        <f t="shared" si="171"/>
        <v>0</v>
      </c>
      <c r="AD336" s="119">
        <f t="shared" si="171"/>
        <v>0</v>
      </c>
      <c r="AE336" s="146">
        <f t="shared" si="171"/>
        <v>0</v>
      </c>
      <c r="AF336" s="81"/>
    </row>
    <row r="337" spans="1:32" ht="13.5" thickBot="1">
      <c r="A337" s="26" t="s">
        <v>217</v>
      </c>
      <c r="B337" s="65"/>
      <c r="C337" s="175">
        <f>SUM(C335:C336)</f>
        <v>40</v>
      </c>
      <c r="D337" s="33">
        <f>SUM(D335:D336)</f>
        <v>62.990000000000016</v>
      </c>
      <c r="E337" s="152">
        <f>SUM(E335:E336)</f>
        <v>31.949999999999992</v>
      </c>
      <c r="F337" s="27"/>
      <c r="G337" s="27"/>
      <c r="H337" s="33">
        <f>SUM(H335:H336)</f>
        <v>15.49</v>
      </c>
      <c r="I337" s="135">
        <f>(H337/E337)</f>
        <v>0.48482003129890466</v>
      </c>
      <c r="J337" s="33">
        <f>SUM(J335:J336)</f>
        <v>26.95</v>
      </c>
      <c r="K337" s="90">
        <f>SUM(K335:K336)</f>
        <v>12.09</v>
      </c>
      <c r="L337" s="33">
        <f>SUM(L335:L336)</f>
        <v>62.990000000000016</v>
      </c>
      <c r="M337" s="87">
        <f>SUM(M335:M336)</f>
        <v>22.239999999999995</v>
      </c>
      <c r="N337" s="27"/>
      <c r="O337" s="151">
        <f aca="true" t="shared" si="172" ref="O337:T337">SUM(O335:O336)</f>
        <v>252950</v>
      </c>
      <c r="P337" s="33">
        <f t="shared" si="172"/>
        <v>26.559750000000005</v>
      </c>
      <c r="Q337" s="33">
        <f t="shared" si="172"/>
        <v>21.247800000000005</v>
      </c>
      <c r="R337" s="33">
        <f t="shared" si="172"/>
        <v>1.9169999999999996</v>
      </c>
      <c r="S337" s="33">
        <f t="shared" si="172"/>
        <v>0</v>
      </c>
      <c r="T337" s="33">
        <f t="shared" si="172"/>
        <v>87.63275</v>
      </c>
      <c r="U337" s="152">
        <f>SUM(U335,U336)</f>
        <v>51.2808</v>
      </c>
      <c r="V337" s="27"/>
      <c r="W337" s="27"/>
      <c r="X337" s="28">
        <f>SUM(X326,X306,X286)</f>
        <v>39.644315999999996</v>
      </c>
      <c r="Y337" s="135">
        <f>SUM(X337/U337)</f>
        <v>0.7730830252258154</v>
      </c>
      <c r="Z337" s="33">
        <f>SUM(Z335:Z336)</f>
        <v>12.02</v>
      </c>
      <c r="AA337" s="33">
        <f>SUM(AA335:AA336)</f>
        <v>24.110000000000003</v>
      </c>
      <c r="AB337" s="33">
        <f>SUM(AB335:AB336)</f>
        <v>51.2808</v>
      </c>
      <c r="AC337" s="90">
        <f>SUM(AC335,AC336)</f>
        <v>45.835664400000006</v>
      </c>
      <c r="AD337" s="120">
        <f>SUM(AD335,AD336)</f>
        <v>33.7456644</v>
      </c>
      <c r="AE337" s="153">
        <f>SUM(AE335,AE336)</f>
        <v>28.457055479999998</v>
      </c>
      <c r="AF337" s="29"/>
    </row>
    <row r="338" spans="1:32" ht="14.25">
      <c r="A338" s="77" t="s">
        <v>182</v>
      </c>
      <c r="B338" s="77"/>
      <c r="C338" s="76"/>
      <c r="D338" s="75"/>
      <c r="E338" s="75"/>
      <c r="F338" s="76"/>
      <c r="G338" s="76"/>
      <c r="H338" s="76"/>
      <c r="I338" s="76"/>
      <c r="J338" s="75"/>
      <c r="K338" s="76"/>
      <c r="L338" s="75"/>
      <c r="M338" s="76"/>
      <c r="N338" s="76"/>
      <c r="O338" s="147">
        <f>SUM(O287,O307,O327)</f>
        <v>276654</v>
      </c>
      <c r="P338" s="75"/>
      <c r="Q338" s="75"/>
      <c r="R338" s="75"/>
      <c r="S338" s="75"/>
      <c r="T338" s="75"/>
      <c r="U338" s="75"/>
      <c r="V338" s="75"/>
      <c r="W338" s="75"/>
      <c r="X338" s="75"/>
      <c r="Y338" s="75"/>
      <c r="Z338" s="75"/>
      <c r="AA338" s="75"/>
      <c r="AB338" s="75"/>
      <c r="AC338" s="75"/>
      <c r="AD338" s="75"/>
      <c r="AE338" s="75"/>
      <c r="AF338" s="72" t="s">
        <v>265</v>
      </c>
    </row>
    <row r="339" spans="1:32" ht="12.75">
      <c r="A339" s="77" t="s">
        <v>173</v>
      </c>
      <c r="B339" s="77"/>
      <c r="C339" s="76"/>
      <c r="D339" s="75"/>
      <c r="E339" s="75"/>
      <c r="F339" s="76"/>
      <c r="G339" s="76"/>
      <c r="H339" s="76"/>
      <c r="I339" s="76"/>
      <c r="J339" s="75"/>
      <c r="K339" s="76"/>
      <c r="L339" s="75"/>
      <c r="M339" s="76"/>
      <c r="N339" s="76"/>
      <c r="O339" s="154">
        <f>SUM(O337/O338)</f>
        <v>0.9143189688202592</v>
      </c>
      <c r="P339" s="75"/>
      <c r="Q339" s="75"/>
      <c r="R339" s="75"/>
      <c r="S339" s="75"/>
      <c r="T339" s="75"/>
      <c r="U339" s="75"/>
      <c r="V339" s="75"/>
      <c r="W339" s="75"/>
      <c r="X339" s="75"/>
      <c r="Y339" s="75"/>
      <c r="Z339" s="75"/>
      <c r="AA339" s="75"/>
      <c r="AB339" s="75"/>
      <c r="AC339" s="75"/>
      <c r="AD339" s="75"/>
      <c r="AE339" s="75"/>
      <c r="AF339" s="72"/>
    </row>
    <row r="340" spans="1:32" ht="15">
      <c r="A340" s="4"/>
      <c r="B340" s="4"/>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6"/>
    </row>
    <row r="341" spans="1:32" ht="15">
      <c r="A341" s="4"/>
      <c r="B341" s="4"/>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6"/>
    </row>
    <row r="342" spans="1:32" ht="15.75">
      <c r="A342" s="203"/>
      <c r="B342" s="203"/>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5"/>
    </row>
    <row r="343" spans="1:32" ht="16.5" customHeight="1">
      <c r="A343" s="176" t="s">
        <v>413</v>
      </c>
      <c r="B343" s="35"/>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row>
    <row r="344" spans="1:32" ht="12.75">
      <c r="A344" s="194" t="s">
        <v>333</v>
      </c>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row>
    <row r="345" spans="1:32" ht="12.75" customHeight="1">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row>
    <row r="346" spans="1:32" ht="12.75" customHeight="1">
      <c r="A346" s="206"/>
      <c r="B346" s="64"/>
      <c r="C346" s="10"/>
      <c r="D346" s="198" t="s">
        <v>285</v>
      </c>
      <c r="E346" s="198"/>
      <c r="F346" s="199" t="s">
        <v>286</v>
      </c>
      <c r="G346" s="199"/>
      <c r="H346" s="113" t="s">
        <v>131</v>
      </c>
      <c r="I346" s="109">
        <v>2010</v>
      </c>
      <c r="J346" s="208" t="s">
        <v>287</v>
      </c>
      <c r="K346" s="208"/>
      <c r="L346" s="209" t="s">
        <v>288</v>
      </c>
      <c r="M346" s="209"/>
      <c r="N346" s="10">
        <v>2010</v>
      </c>
      <c r="O346" s="68" t="s">
        <v>289</v>
      </c>
      <c r="P346" s="199" t="s">
        <v>290</v>
      </c>
      <c r="Q346" s="199"/>
      <c r="R346" s="199" t="s">
        <v>291</v>
      </c>
      <c r="S346" s="199"/>
      <c r="T346" s="198" t="s">
        <v>292</v>
      </c>
      <c r="U346" s="198"/>
      <c r="V346" s="199" t="s">
        <v>293</v>
      </c>
      <c r="W346" s="199"/>
      <c r="X346" s="114" t="s">
        <v>298</v>
      </c>
      <c r="Y346" s="114" t="s">
        <v>299</v>
      </c>
      <c r="Z346" s="200" t="s">
        <v>294</v>
      </c>
      <c r="AA346" s="40">
        <v>2020</v>
      </c>
      <c r="AB346" s="207" t="s">
        <v>295</v>
      </c>
      <c r="AC346" s="208"/>
      <c r="AD346" s="61" t="s">
        <v>296</v>
      </c>
      <c r="AE346" s="57" t="s">
        <v>296</v>
      </c>
      <c r="AF346" s="10"/>
    </row>
    <row r="347" spans="1:32" ht="12.75" customHeight="1">
      <c r="A347" s="206"/>
      <c r="B347" s="66" t="s">
        <v>153</v>
      </c>
      <c r="C347" s="10" t="s">
        <v>0</v>
      </c>
      <c r="D347" s="198"/>
      <c r="E347" s="198"/>
      <c r="F347" s="199"/>
      <c r="G347" s="199"/>
      <c r="H347" s="113"/>
      <c r="I347" s="109" t="s">
        <v>131</v>
      </c>
      <c r="J347" s="208"/>
      <c r="K347" s="208"/>
      <c r="L347" s="209"/>
      <c r="M347" s="209"/>
      <c r="N347" s="10" t="s">
        <v>2</v>
      </c>
      <c r="O347" s="68" t="s">
        <v>161</v>
      </c>
      <c r="P347" s="199"/>
      <c r="Q347" s="199"/>
      <c r="R347" s="199"/>
      <c r="S347" s="199"/>
      <c r="T347" s="198"/>
      <c r="U347" s="198"/>
      <c r="V347" s="199"/>
      <c r="W347" s="199"/>
      <c r="X347" s="114" t="s">
        <v>131</v>
      </c>
      <c r="Y347" s="114"/>
      <c r="Z347" s="201"/>
      <c r="AA347" s="41" t="s">
        <v>145</v>
      </c>
      <c r="AB347" s="207"/>
      <c r="AC347" s="208"/>
      <c r="AD347" s="61" t="s">
        <v>145</v>
      </c>
      <c r="AE347" s="57" t="s">
        <v>297</v>
      </c>
      <c r="AF347" s="10" t="s">
        <v>3</v>
      </c>
    </row>
    <row r="348" spans="1:32" ht="12.75" customHeight="1">
      <c r="A348" s="206"/>
      <c r="B348" s="66" t="s">
        <v>151</v>
      </c>
      <c r="C348" s="10" t="s">
        <v>1</v>
      </c>
      <c r="D348" s="198"/>
      <c r="E348" s="198"/>
      <c r="F348" s="199"/>
      <c r="G348" s="199"/>
      <c r="H348" s="113"/>
      <c r="I348" s="109"/>
      <c r="J348" s="208"/>
      <c r="K348" s="208"/>
      <c r="L348" s="209"/>
      <c r="M348" s="209"/>
      <c r="N348" s="10" t="s">
        <v>97</v>
      </c>
      <c r="O348" s="68" t="s">
        <v>270</v>
      </c>
      <c r="P348" s="199"/>
      <c r="Q348" s="199"/>
      <c r="R348" s="199"/>
      <c r="S348" s="199"/>
      <c r="T348" s="198"/>
      <c r="U348" s="198"/>
      <c r="V348" s="199"/>
      <c r="W348" s="199"/>
      <c r="X348" s="109"/>
      <c r="Y348" s="109"/>
      <c r="Z348" s="202"/>
      <c r="AA348" s="39" t="s">
        <v>143</v>
      </c>
      <c r="AB348" s="208"/>
      <c r="AC348" s="208"/>
      <c r="AD348" s="61"/>
      <c r="AE348" s="57"/>
      <c r="AF348" s="125"/>
    </row>
    <row r="349" spans="1:32" ht="52.5" customHeight="1">
      <c r="A349" s="78" t="s">
        <v>206</v>
      </c>
      <c r="B349" s="10" t="s">
        <v>154</v>
      </c>
      <c r="C349" s="10" t="s">
        <v>302</v>
      </c>
      <c r="D349" s="10" t="s">
        <v>5</v>
      </c>
      <c r="E349" s="11" t="s">
        <v>7</v>
      </c>
      <c r="F349" s="10" t="s">
        <v>95</v>
      </c>
      <c r="G349" s="10" t="s">
        <v>96</v>
      </c>
      <c r="H349" s="113" t="s">
        <v>7</v>
      </c>
      <c r="I349" s="109"/>
      <c r="J349" s="10" t="s">
        <v>5</v>
      </c>
      <c r="K349" s="12" t="s">
        <v>277</v>
      </c>
      <c r="L349" s="10" t="s">
        <v>5</v>
      </c>
      <c r="M349" s="42" t="s">
        <v>7</v>
      </c>
      <c r="N349" s="10"/>
      <c r="O349" s="68"/>
      <c r="P349" s="10" t="s">
        <v>5</v>
      </c>
      <c r="Q349" s="10" t="s">
        <v>7</v>
      </c>
      <c r="R349" s="10" t="s">
        <v>272</v>
      </c>
      <c r="S349" s="10" t="s">
        <v>273</v>
      </c>
      <c r="T349" s="10" t="s">
        <v>5</v>
      </c>
      <c r="U349" s="11" t="s">
        <v>7</v>
      </c>
      <c r="V349" s="10" t="s">
        <v>95</v>
      </c>
      <c r="W349" s="10" t="s">
        <v>96</v>
      </c>
      <c r="X349" s="109"/>
      <c r="Y349" s="109"/>
      <c r="Z349" s="10"/>
      <c r="AA349" s="10"/>
      <c r="AB349" s="10" t="s">
        <v>5</v>
      </c>
      <c r="AC349" s="12" t="s">
        <v>334</v>
      </c>
      <c r="AD349" s="61" t="s">
        <v>335</v>
      </c>
      <c r="AE349" s="57" t="s">
        <v>336</v>
      </c>
      <c r="AF349" s="125"/>
    </row>
    <row r="350" spans="1:32" ht="12.75">
      <c r="A350" s="10"/>
      <c r="B350" s="10"/>
      <c r="C350" s="125"/>
      <c r="D350" s="10" t="s">
        <v>6</v>
      </c>
      <c r="E350" s="11" t="s">
        <v>6</v>
      </c>
      <c r="F350" s="10"/>
      <c r="G350" s="10"/>
      <c r="H350" s="113" t="s">
        <v>6</v>
      </c>
      <c r="I350" s="109" t="s">
        <v>300</v>
      </c>
      <c r="J350" s="10" t="s">
        <v>6</v>
      </c>
      <c r="K350" s="12" t="s">
        <v>6</v>
      </c>
      <c r="L350" s="10" t="s">
        <v>6</v>
      </c>
      <c r="M350" s="42" t="s">
        <v>6</v>
      </c>
      <c r="N350" s="125"/>
      <c r="O350" s="126"/>
      <c r="P350" s="10" t="s">
        <v>6</v>
      </c>
      <c r="Q350" s="10" t="s">
        <v>6</v>
      </c>
      <c r="R350" s="10" t="s">
        <v>6</v>
      </c>
      <c r="S350" s="10" t="s">
        <v>6</v>
      </c>
      <c r="T350" s="10" t="s">
        <v>6</v>
      </c>
      <c r="U350" s="11" t="s">
        <v>6</v>
      </c>
      <c r="V350" s="10"/>
      <c r="W350" s="10"/>
      <c r="X350" s="109" t="s">
        <v>6</v>
      </c>
      <c r="Y350" s="109" t="s">
        <v>300</v>
      </c>
      <c r="Z350" s="10" t="s">
        <v>6</v>
      </c>
      <c r="AA350" s="10" t="s">
        <v>6</v>
      </c>
      <c r="AB350" s="10" t="s">
        <v>6</v>
      </c>
      <c r="AC350" s="12" t="s">
        <v>6</v>
      </c>
      <c r="AD350" s="61" t="s">
        <v>6</v>
      </c>
      <c r="AE350" s="57" t="s">
        <v>6</v>
      </c>
      <c r="AF350" s="125"/>
    </row>
    <row r="351" spans="1:32" ht="12.75">
      <c r="A351" s="10" t="s">
        <v>4</v>
      </c>
      <c r="B351" s="10"/>
      <c r="C351" s="125"/>
      <c r="D351" s="125"/>
      <c r="E351" s="127"/>
      <c r="F351" s="125"/>
      <c r="G351" s="125"/>
      <c r="H351" s="125"/>
      <c r="I351" s="125"/>
      <c r="J351" s="125"/>
      <c r="K351" s="128"/>
      <c r="L351" s="125"/>
      <c r="M351" s="129"/>
      <c r="N351" s="125"/>
      <c r="O351" s="126"/>
      <c r="P351" s="125"/>
      <c r="Q351" s="125"/>
      <c r="R351" s="125"/>
      <c r="S351" s="125"/>
      <c r="T351" s="125"/>
      <c r="U351" s="13"/>
      <c r="V351" s="44"/>
      <c r="W351" s="44"/>
      <c r="X351" s="44"/>
      <c r="Y351" s="44"/>
      <c r="Z351" s="125"/>
      <c r="AA351" s="125"/>
      <c r="AB351" s="125"/>
      <c r="AC351" s="128"/>
      <c r="AD351" s="121"/>
      <c r="AE351" s="130"/>
      <c r="AF351" s="125"/>
    </row>
    <row r="352" spans="1:32" ht="15">
      <c r="A352" s="54" t="s">
        <v>39</v>
      </c>
      <c r="B352" s="54"/>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row>
    <row r="353" spans="1:32" ht="15.75" customHeight="1">
      <c r="A353" s="16" t="s">
        <v>40</v>
      </c>
      <c r="B353" s="16" t="s">
        <v>155</v>
      </c>
      <c r="C353" s="17" t="s">
        <v>139</v>
      </c>
      <c r="D353" s="18">
        <v>9</v>
      </c>
      <c r="E353" s="46">
        <v>4.49</v>
      </c>
      <c r="F353" s="17" t="s">
        <v>131</v>
      </c>
      <c r="G353" s="17" t="s">
        <v>127</v>
      </c>
      <c r="H353" s="18">
        <v>4.49</v>
      </c>
      <c r="I353" s="17"/>
      <c r="J353" s="18">
        <v>3.29</v>
      </c>
      <c r="K353" s="37">
        <v>0.32</v>
      </c>
      <c r="L353" s="18">
        <f>SUM(D353)</f>
        <v>9</v>
      </c>
      <c r="M353" s="47">
        <f aca="true" t="shared" si="173" ref="M353:M360">SUM(E353-K353)</f>
        <v>4.17</v>
      </c>
      <c r="N353" s="17" t="s">
        <v>358</v>
      </c>
      <c r="O353" s="131">
        <v>2063</v>
      </c>
      <c r="P353" s="18">
        <f>SUM(O353*84)*(1.25)/1000000</f>
        <v>0.216615</v>
      </c>
      <c r="Q353" s="18">
        <f>SUM(O353*84)/1000000</f>
        <v>0.173292</v>
      </c>
      <c r="R353" s="18">
        <f>SUM(E353*0.06)</f>
        <v>0.26940000000000003</v>
      </c>
      <c r="S353" s="17"/>
      <c r="T353" s="18">
        <f>SUM(D353+P353)-(R353+S353)</f>
        <v>8.947215000000002</v>
      </c>
      <c r="U353" s="46">
        <f>SUM(E353+Q353)-(R353+S353)+1.5</f>
        <v>5.893892</v>
      </c>
      <c r="V353" s="50" t="s">
        <v>131</v>
      </c>
      <c r="W353" s="50" t="s">
        <v>144</v>
      </c>
      <c r="X353" s="50">
        <f>SUM(U353)</f>
        <v>5.893892</v>
      </c>
      <c r="Y353" s="50"/>
      <c r="Z353" s="18">
        <v>5</v>
      </c>
      <c r="AA353" s="18">
        <f aca="true" t="shared" si="174" ref="AA353:AA360">K353+Z353</f>
        <v>5.32</v>
      </c>
      <c r="AB353" s="18">
        <f>SUM(U353)</f>
        <v>5.893892</v>
      </c>
      <c r="AC353" s="37">
        <f>SUM(U353*1)</f>
        <v>5.893892</v>
      </c>
      <c r="AD353" s="62">
        <f>SUM(AC353-K353)</f>
        <v>5.573892</v>
      </c>
      <c r="AE353" s="58">
        <f>SUM(AD353*0.7)</f>
        <v>3.9017243999999995</v>
      </c>
      <c r="AF353" s="17" t="s">
        <v>412</v>
      </c>
    </row>
    <row r="354" spans="1:32" ht="25.5">
      <c r="A354" s="16" t="s">
        <v>41</v>
      </c>
      <c r="B354" s="16" t="s">
        <v>155</v>
      </c>
      <c r="C354" s="17" t="s">
        <v>139</v>
      </c>
      <c r="D354" s="18">
        <v>7.5</v>
      </c>
      <c r="E354" s="46">
        <v>4.1</v>
      </c>
      <c r="F354" s="17" t="s">
        <v>128</v>
      </c>
      <c r="G354" s="17" t="s">
        <v>127</v>
      </c>
      <c r="H354" s="18">
        <v>0</v>
      </c>
      <c r="I354" s="17"/>
      <c r="J354" s="18">
        <v>16</v>
      </c>
      <c r="K354" s="37">
        <v>4.1</v>
      </c>
      <c r="L354" s="18">
        <f>SUM(D354)</f>
        <v>7.5</v>
      </c>
      <c r="M354" s="47">
        <f t="shared" si="173"/>
        <v>0</v>
      </c>
      <c r="N354" s="17" t="s">
        <v>356</v>
      </c>
      <c r="O354" s="131">
        <v>80733</v>
      </c>
      <c r="P354" s="18">
        <f>SUM(O354*84)*(1.25)/1000000</f>
        <v>8.476965</v>
      </c>
      <c r="Q354" s="18">
        <f>SUM(O354*84)/1000000</f>
        <v>6.781572</v>
      </c>
      <c r="R354" s="18">
        <f>SUM(E354*0.06)</f>
        <v>0.24599999999999997</v>
      </c>
      <c r="S354" s="17">
        <v>0.2</v>
      </c>
      <c r="T354" s="18">
        <f>SUM(D354+P354)-(R354+S354)</f>
        <v>15.530965</v>
      </c>
      <c r="U354" s="46">
        <f>SUM(E354+Q354)-(R354+S354)</f>
        <v>10.435571999999999</v>
      </c>
      <c r="V354" s="50" t="s">
        <v>131</v>
      </c>
      <c r="W354" s="50" t="s">
        <v>144</v>
      </c>
      <c r="X354" s="50">
        <f>SUM(U354)</f>
        <v>10.435571999999999</v>
      </c>
      <c r="Y354" s="50"/>
      <c r="Z354" s="159"/>
      <c r="AA354" s="18">
        <f t="shared" si="174"/>
        <v>4.1</v>
      </c>
      <c r="AB354" s="18">
        <f>SUM(U354)</f>
        <v>10.435571999999999</v>
      </c>
      <c r="AC354" s="37">
        <f>SUM(U354*1)</f>
        <v>10.435571999999999</v>
      </c>
      <c r="AD354" s="62">
        <f>SUM(AC354-K354)</f>
        <v>6.335571999999999</v>
      </c>
      <c r="AE354" s="58">
        <f>SUM(AD354*0.7)</f>
        <v>4.434900399999999</v>
      </c>
      <c r="AF354" s="17" t="s">
        <v>393</v>
      </c>
    </row>
    <row r="355" spans="1:32" ht="38.25">
      <c r="A355" s="16" t="s">
        <v>42</v>
      </c>
      <c r="B355" s="16" t="s">
        <v>155</v>
      </c>
      <c r="C355" s="17" t="s">
        <v>139</v>
      </c>
      <c r="D355" s="18">
        <v>11</v>
      </c>
      <c r="E355" s="46">
        <v>4.8</v>
      </c>
      <c r="F355" s="17" t="s">
        <v>128</v>
      </c>
      <c r="G355" s="17" t="s">
        <v>127</v>
      </c>
      <c r="H355" s="18">
        <v>0</v>
      </c>
      <c r="I355" s="17"/>
      <c r="J355" s="18" t="s">
        <v>359</v>
      </c>
      <c r="K355" s="37">
        <v>4.8</v>
      </c>
      <c r="L355" s="18">
        <f>SUM(D355)</f>
        <v>11</v>
      </c>
      <c r="M355" s="47">
        <f t="shared" si="173"/>
        <v>0</v>
      </c>
      <c r="N355" s="17" t="s">
        <v>355</v>
      </c>
      <c r="O355" s="131">
        <v>54026</v>
      </c>
      <c r="P355" s="18">
        <f>SUM(O355*84)*(1.25)/1000000</f>
        <v>5.67273</v>
      </c>
      <c r="Q355" s="18">
        <f>SUM(O355*84)/1000000</f>
        <v>4.538184</v>
      </c>
      <c r="R355" s="18">
        <f>SUM(E355*0.06)</f>
        <v>0.288</v>
      </c>
      <c r="S355" s="17"/>
      <c r="T355" s="18">
        <f>SUM(D355+P355)-(R355+S355)</f>
        <v>16.38473</v>
      </c>
      <c r="U355" s="46">
        <f>SUM(E355+Q355)-(R355+S355)</f>
        <v>9.050184</v>
      </c>
      <c r="V355" s="50" t="s">
        <v>131</v>
      </c>
      <c r="W355" s="50" t="s">
        <v>144</v>
      </c>
      <c r="X355" s="50">
        <f>SUM(U355)</f>
        <v>9.050184</v>
      </c>
      <c r="Y355" s="50"/>
      <c r="Z355" s="159"/>
      <c r="AA355" s="18">
        <f t="shared" si="174"/>
        <v>4.8</v>
      </c>
      <c r="AB355" s="18">
        <f>SUM(U355)</f>
        <v>9.050184</v>
      </c>
      <c r="AC355" s="37">
        <f>SUM(U355*1)</f>
        <v>9.050184</v>
      </c>
      <c r="AD355" s="62">
        <f>SUM(AC355-K355)</f>
        <v>4.250184</v>
      </c>
      <c r="AE355" s="58">
        <f>SUM(AD355*0.7)</f>
        <v>2.9751288</v>
      </c>
      <c r="AF355" s="17" t="s">
        <v>394</v>
      </c>
    </row>
    <row r="356" spans="1:32" ht="25.5">
      <c r="A356" s="16" t="s">
        <v>43</v>
      </c>
      <c r="B356" s="16" t="s">
        <v>155</v>
      </c>
      <c r="C356" s="17" t="s">
        <v>139</v>
      </c>
      <c r="D356" s="18">
        <v>22</v>
      </c>
      <c r="E356" s="46">
        <v>12.2</v>
      </c>
      <c r="F356" s="17" t="s">
        <v>128</v>
      </c>
      <c r="G356" s="17" t="s">
        <v>127</v>
      </c>
      <c r="H356" s="18">
        <v>0</v>
      </c>
      <c r="I356" s="17"/>
      <c r="J356" s="18" t="s">
        <v>359</v>
      </c>
      <c r="K356" s="37">
        <v>6.7</v>
      </c>
      <c r="L356" s="18">
        <v>15</v>
      </c>
      <c r="M356" s="47">
        <f t="shared" si="173"/>
        <v>5.499999999999999</v>
      </c>
      <c r="N356" s="17" t="s">
        <v>112</v>
      </c>
      <c r="O356" s="131">
        <v>9559</v>
      </c>
      <c r="P356" s="18">
        <f>SUM(O356*84)*(1.25)/1000000</f>
        <v>1.003695</v>
      </c>
      <c r="Q356" s="18">
        <f>SUM(O356*84)/1000000</f>
        <v>0.802956</v>
      </c>
      <c r="R356" s="18">
        <f>SUM(E356*0.06)</f>
        <v>0.732</v>
      </c>
      <c r="S356" s="17">
        <v>0.6</v>
      </c>
      <c r="T356" s="18">
        <f>SUM(D356+P356)-(R356+S356)</f>
        <v>21.671695</v>
      </c>
      <c r="U356" s="46">
        <f>SUM(E356+Q356)-(R356+S356)</f>
        <v>11.670956</v>
      </c>
      <c r="V356" s="50" t="s">
        <v>131</v>
      </c>
      <c r="W356" s="50" t="s">
        <v>144</v>
      </c>
      <c r="X356" s="50">
        <f>SUM(U356)</f>
        <v>11.670956</v>
      </c>
      <c r="Y356" s="50"/>
      <c r="Z356" s="18"/>
      <c r="AA356" s="18">
        <f t="shared" si="174"/>
        <v>6.7</v>
      </c>
      <c r="AB356" s="18">
        <f>SUM(U356)</f>
        <v>11.670956</v>
      </c>
      <c r="AC356" s="37">
        <f>SUM(U356*1)</f>
        <v>11.670956</v>
      </c>
      <c r="AD356" s="62">
        <f>SUM(AC356-K356)</f>
        <v>4.970956</v>
      </c>
      <c r="AE356" s="58">
        <f>SUM(AD356*0.7)</f>
        <v>3.4796692</v>
      </c>
      <c r="AF356" s="17" t="s">
        <v>395</v>
      </c>
    </row>
    <row r="357" spans="1:32" ht="25.5">
      <c r="A357" s="16" t="s">
        <v>44</v>
      </c>
      <c r="B357" s="16" t="s">
        <v>155</v>
      </c>
      <c r="C357" s="17" t="s">
        <v>139</v>
      </c>
      <c r="D357" s="18">
        <v>2.4</v>
      </c>
      <c r="E357" s="46">
        <v>1.23</v>
      </c>
      <c r="F357" s="17" t="s">
        <v>131</v>
      </c>
      <c r="G357" s="17" t="s">
        <v>127</v>
      </c>
      <c r="H357" s="18">
        <v>1.23</v>
      </c>
      <c r="I357" s="17"/>
      <c r="J357" s="18">
        <v>2.67</v>
      </c>
      <c r="K357" s="37">
        <v>0.11</v>
      </c>
      <c r="L357" s="18">
        <v>1.4</v>
      </c>
      <c r="M357" s="47">
        <f t="shared" si="173"/>
        <v>1.1199999999999999</v>
      </c>
      <c r="N357" s="17" t="s">
        <v>357</v>
      </c>
      <c r="O357" s="131">
        <v>1836</v>
      </c>
      <c r="P357" s="18">
        <f>SUM(O357*84)*(1.25)/1000000</f>
        <v>0.19278</v>
      </c>
      <c r="Q357" s="18">
        <f>SUM(O357*84)/1000000</f>
        <v>0.154224</v>
      </c>
      <c r="R357" s="18">
        <f>SUM(E357*0.06)</f>
        <v>0.07379999999999999</v>
      </c>
      <c r="S357" s="17"/>
      <c r="T357" s="18">
        <f>SUM(D357+P357)-(R357+S357)</f>
        <v>2.51898</v>
      </c>
      <c r="U357" s="46">
        <f>SUM(E357+Q357)-(R357+S357)</f>
        <v>1.3104239999999998</v>
      </c>
      <c r="V357" s="50" t="s">
        <v>131</v>
      </c>
      <c r="W357" s="50" t="s">
        <v>144</v>
      </c>
      <c r="X357" s="50">
        <f>SUM(U357)</f>
        <v>1.3104239999999998</v>
      </c>
      <c r="Y357" s="50"/>
      <c r="Z357" s="18">
        <v>0.6</v>
      </c>
      <c r="AA357" s="18">
        <f t="shared" si="174"/>
        <v>0.71</v>
      </c>
      <c r="AB357" s="18">
        <f>SUM(U357)</f>
        <v>1.3104239999999998</v>
      </c>
      <c r="AC357" s="37">
        <f>SUM(U357*0.7)</f>
        <v>0.9172967999999998</v>
      </c>
      <c r="AD357" s="62">
        <f>SUM(AC357-K357)</f>
        <v>0.8072967999999998</v>
      </c>
      <c r="AE357" s="58">
        <f>SUM(AD357*0.7)</f>
        <v>0.5651077599999998</v>
      </c>
      <c r="AF357" s="17" t="s">
        <v>396</v>
      </c>
    </row>
    <row r="358" spans="1:32" ht="15">
      <c r="A358" s="14" t="s">
        <v>45</v>
      </c>
      <c r="B358" s="14"/>
      <c r="C358" s="15"/>
      <c r="D358" s="51"/>
      <c r="E358" s="51"/>
      <c r="F358" s="15"/>
      <c r="G358" s="15"/>
      <c r="H358" s="15"/>
      <c r="I358" s="15"/>
      <c r="J358" s="51"/>
      <c r="K358" s="51"/>
      <c r="L358" s="51"/>
      <c r="M358" s="52"/>
      <c r="N358" s="15"/>
      <c r="O358" s="67"/>
      <c r="P358" s="15"/>
      <c r="Q358" s="15"/>
      <c r="R358" s="15"/>
      <c r="S358" s="15"/>
      <c r="T358" s="15"/>
      <c r="U358" s="53"/>
      <c r="V358" s="53"/>
      <c r="W358" s="53"/>
      <c r="X358" s="53"/>
      <c r="Y358" s="53"/>
      <c r="Z358" s="15"/>
      <c r="AA358" s="52">
        <f t="shared" si="174"/>
        <v>0</v>
      </c>
      <c r="AB358" s="15"/>
      <c r="AC358" s="15"/>
      <c r="AD358" s="15"/>
      <c r="AE358" s="15"/>
      <c r="AF358" s="15"/>
    </row>
    <row r="359" spans="1:32" ht="15">
      <c r="A359" s="16" t="s">
        <v>13</v>
      </c>
      <c r="B359" s="16"/>
      <c r="C359" s="17">
        <v>5</v>
      </c>
      <c r="D359" s="18">
        <f>SUM(D353:D357)</f>
        <v>51.9</v>
      </c>
      <c r="E359" s="46">
        <f>SUM(E353:E357)</f>
        <v>26.82</v>
      </c>
      <c r="F359" s="17"/>
      <c r="G359" s="17"/>
      <c r="H359" s="18">
        <f>SUM(H353:H357)</f>
        <v>5.720000000000001</v>
      </c>
      <c r="I359" s="17"/>
      <c r="J359" s="18">
        <f>SUM(J353:J357)</f>
        <v>21.96</v>
      </c>
      <c r="K359" s="37">
        <f>SUM(K353:K357)</f>
        <v>16.029999999999998</v>
      </c>
      <c r="L359" s="18">
        <f>SUM(L353:L357)</f>
        <v>43.9</v>
      </c>
      <c r="M359" s="47">
        <f t="shared" si="173"/>
        <v>10.790000000000003</v>
      </c>
      <c r="N359" s="17"/>
      <c r="O359" s="131">
        <f aca="true" t="shared" si="175" ref="O359:U359">SUM(O353:O357)</f>
        <v>148217</v>
      </c>
      <c r="P359" s="18">
        <f t="shared" si="175"/>
        <v>15.562785000000002</v>
      </c>
      <c r="Q359" s="18">
        <f t="shared" si="175"/>
        <v>12.450228</v>
      </c>
      <c r="R359" s="18">
        <f t="shared" si="175"/>
        <v>1.6092</v>
      </c>
      <c r="S359" s="18">
        <f t="shared" si="175"/>
        <v>0.8</v>
      </c>
      <c r="T359" s="18">
        <f t="shared" si="175"/>
        <v>65.053585</v>
      </c>
      <c r="U359" s="46">
        <f t="shared" si="175"/>
        <v>38.36102799999999</v>
      </c>
      <c r="V359" s="43"/>
      <c r="W359" s="43"/>
      <c r="X359" s="18">
        <f>SUM(X353:X357)</f>
        <v>38.36102799999999</v>
      </c>
      <c r="Y359" s="43"/>
      <c r="Z359" s="18">
        <f>SUM(Z361)</f>
        <v>5.6</v>
      </c>
      <c r="AA359" s="18">
        <f t="shared" si="174"/>
        <v>21.629999999999995</v>
      </c>
      <c r="AB359" s="18">
        <f>SUM(AB361)</f>
        <v>38.36102799999999</v>
      </c>
      <c r="AC359" s="37">
        <f>SUM(AC361)</f>
        <v>37.967900799999995</v>
      </c>
      <c r="AD359" s="62">
        <f>SUM(AD361)</f>
        <v>21.9379008</v>
      </c>
      <c r="AE359" s="58">
        <f>SUM(AE361)</f>
        <v>15.35653056</v>
      </c>
      <c r="AF359" s="20"/>
    </row>
    <row r="360" spans="1:32" ht="15.75" thickBot="1">
      <c r="A360" s="22" t="s">
        <v>14</v>
      </c>
      <c r="B360" s="22"/>
      <c r="C360" s="23">
        <v>0</v>
      </c>
      <c r="D360" s="24">
        <v>0</v>
      </c>
      <c r="E360" s="132">
        <v>0</v>
      </c>
      <c r="F360" s="23"/>
      <c r="G360" s="23"/>
      <c r="H360" s="24">
        <v>0</v>
      </c>
      <c r="I360" s="23"/>
      <c r="J360" s="24">
        <v>0</v>
      </c>
      <c r="K360" s="133">
        <v>0</v>
      </c>
      <c r="L360" s="24">
        <v>0</v>
      </c>
      <c r="M360" s="47">
        <f t="shared" si="173"/>
        <v>0</v>
      </c>
      <c r="N360" s="23"/>
      <c r="O360" s="69">
        <v>0</v>
      </c>
      <c r="P360" s="24">
        <v>0</v>
      </c>
      <c r="Q360" s="24">
        <v>0</v>
      </c>
      <c r="R360" s="24">
        <v>0</v>
      </c>
      <c r="S360" s="24">
        <v>0</v>
      </c>
      <c r="T360" s="24">
        <v>0</v>
      </c>
      <c r="U360" s="132">
        <v>0</v>
      </c>
      <c r="V360" s="45"/>
      <c r="W360" s="45"/>
      <c r="X360" s="45">
        <v>0</v>
      </c>
      <c r="Y360" s="45"/>
      <c r="Z360" s="24">
        <v>0</v>
      </c>
      <c r="AA360" s="18">
        <f t="shared" si="174"/>
        <v>0</v>
      </c>
      <c r="AB360" s="24">
        <v>0</v>
      </c>
      <c r="AC360" s="133">
        <v>0</v>
      </c>
      <c r="AD360" s="117">
        <v>0</v>
      </c>
      <c r="AE360" s="59">
        <v>0</v>
      </c>
      <c r="AF360" s="25"/>
    </row>
    <row r="361" spans="1:32" ht="15.75" thickBot="1">
      <c r="A361" s="26" t="s">
        <v>15</v>
      </c>
      <c r="B361" s="65"/>
      <c r="C361" s="27">
        <f>SUM(C359,C360)</f>
        <v>5</v>
      </c>
      <c r="D361" s="33">
        <f>SUM(D359:D360)</f>
        <v>51.9</v>
      </c>
      <c r="E361" s="134">
        <f>SUM(E353:E357)</f>
        <v>26.82</v>
      </c>
      <c r="F361" s="27"/>
      <c r="G361" s="27"/>
      <c r="H361" s="33">
        <f>SUM(H359:H360)</f>
        <v>5.720000000000001</v>
      </c>
      <c r="I361" s="135">
        <f>(H361/E361)</f>
        <v>0.2132736763609247</v>
      </c>
      <c r="J361" s="33">
        <f>SUM(J359:J360)</f>
        <v>21.96</v>
      </c>
      <c r="K361" s="136">
        <f>SUM(K359:K360)</f>
        <v>16.029999999999998</v>
      </c>
      <c r="L361" s="33">
        <f>SUM(L359:L360)</f>
        <v>43.9</v>
      </c>
      <c r="M361" s="48">
        <f>SUM(M359:M360)</f>
        <v>10.790000000000003</v>
      </c>
      <c r="N361" s="27"/>
      <c r="O361" s="138">
        <f aca="true" t="shared" si="176" ref="O361:U361">SUM(O359:O360)</f>
        <v>148217</v>
      </c>
      <c r="P361" s="33">
        <f t="shared" si="176"/>
        <v>15.562785000000002</v>
      </c>
      <c r="Q361" s="33">
        <f t="shared" si="176"/>
        <v>12.450228</v>
      </c>
      <c r="R361" s="33">
        <f t="shared" si="176"/>
        <v>1.6092</v>
      </c>
      <c r="S361" s="33">
        <f t="shared" si="176"/>
        <v>0.8</v>
      </c>
      <c r="T361" s="33">
        <f t="shared" si="176"/>
        <v>65.053585</v>
      </c>
      <c r="U361" s="134">
        <f t="shared" si="176"/>
        <v>38.36102799999999</v>
      </c>
      <c r="V361" s="33"/>
      <c r="W361" s="33"/>
      <c r="X361" s="33">
        <f>SUM(X359:X360)</f>
        <v>38.36102799999999</v>
      </c>
      <c r="Y361" s="135">
        <f>SUM(X361/U361)</f>
        <v>1</v>
      </c>
      <c r="Z361" s="33">
        <f aca="true" t="shared" si="177" ref="Z361:AE361">SUM(Z353:Z357)</f>
        <v>5.6</v>
      </c>
      <c r="AA361" s="33">
        <f t="shared" si="177"/>
        <v>21.63</v>
      </c>
      <c r="AB361" s="33">
        <f t="shared" si="177"/>
        <v>38.36102799999999</v>
      </c>
      <c r="AC361" s="136">
        <f t="shared" si="177"/>
        <v>37.967900799999995</v>
      </c>
      <c r="AD361" s="118">
        <f t="shared" si="177"/>
        <v>21.9379008</v>
      </c>
      <c r="AE361" s="60">
        <f t="shared" si="177"/>
        <v>15.35653056</v>
      </c>
      <c r="AF361" s="31"/>
    </row>
    <row r="362" spans="1:32" ht="14.25">
      <c r="A362" s="77" t="s">
        <v>182</v>
      </c>
      <c r="B362" s="77"/>
      <c r="C362" s="76"/>
      <c r="D362" s="75"/>
      <c r="E362" s="75"/>
      <c r="F362" s="76"/>
      <c r="G362" s="76"/>
      <c r="H362" s="76"/>
      <c r="I362" s="76"/>
      <c r="J362" s="75"/>
      <c r="K362" s="76"/>
      <c r="L362" s="75"/>
      <c r="M362" s="76"/>
      <c r="N362" s="76"/>
      <c r="O362" s="73">
        <v>153978</v>
      </c>
      <c r="P362" s="75"/>
      <c r="Q362" s="75"/>
      <c r="R362" s="75"/>
      <c r="S362" s="75"/>
      <c r="T362" s="75"/>
      <c r="U362" s="75"/>
      <c r="V362" s="75"/>
      <c r="W362" s="75"/>
      <c r="X362" s="75"/>
      <c r="Y362" s="75"/>
      <c r="Z362" s="75"/>
      <c r="AA362" s="75"/>
      <c r="AB362" s="75"/>
      <c r="AC362" s="75"/>
      <c r="AD362" s="75"/>
      <c r="AE362" s="75"/>
      <c r="AF362" s="5" t="s">
        <v>265</v>
      </c>
    </row>
    <row r="363" spans="1:32" ht="12.75">
      <c r="A363" s="77" t="s">
        <v>173</v>
      </c>
      <c r="B363" s="77"/>
      <c r="C363" s="76"/>
      <c r="D363" s="75"/>
      <c r="E363" s="75"/>
      <c r="F363" s="76"/>
      <c r="G363" s="76"/>
      <c r="H363" s="76"/>
      <c r="I363" s="76"/>
      <c r="J363" s="75"/>
      <c r="K363" s="76"/>
      <c r="L363" s="75"/>
      <c r="M363" s="76"/>
      <c r="N363" s="76"/>
      <c r="O363" s="74">
        <f>SUM(O361/O362)</f>
        <v>0.962585564171505</v>
      </c>
      <c r="P363" s="75"/>
      <c r="Q363" s="75"/>
      <c r="R363" s="75"/>
      <c r="S363" s="75"/>
      <c r="T363" s="75"/>
      <c r="U363" s="75"/>
      <c r="V363" s="75"/>
      <c r="W363" s="75"/>
      <c r="X363" s="75"/>
      <c r="Y363" s="75"/>
      <c r="Z363" s="75"/>
      <c r="AA363" s="75"/>
      <c r="AB363" s="75"/>
      <c r="AC363" s="75"/>
      <c r="AD363" s="75"/>
      <c r="AE363" s="75"/>
      <c r="AF363" s="5"/>
    </row>
    <row r="364" spans="1:32" ht="15">
      <c r="A364" s="36"/>
      <c r="B364" s="36"/>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row>
    <row r="365" spans="1:32" ht="12.75">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row>
    <row r="366" spans="1:32" ht="12.75" customHeight="1">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row>
    <row r="367" spans="1:32" ht="12.75" customHeight="1">
      <c r="A367" s="206"/>
      <c r="B367" s="64"/>
      <c r="C367" s="10"/>
      <c r="D367" s="198" t="s">
        <v>285</v>
      </c>
      <c r="E367" s="198"/>
      <c r="F367" s="199" t="s">
        <v>286</v>
      </c>
      <c r="G367" s="199"/>
      <c r="H367" s="113" t="s">
        <v>131</v>
      </c>
      <c r="I367" s="109">
        <v>2010</v>
      </c>
      <c r="J367" s="208" t="s">
        <v>287</v>
      </c>
      <c r="K367" s="208"/>
      <c r="L367" s="209" t="s">
        <v>288</v>
      </c>
      <c r="M367" s="209"/>
      <c r="N367" s="10">
        <v>2010</v>
      </c>
      <c r="O367" s="68" t="s">
        <v>289</v>
      </c>
      <c r="P367" s="199" t="s">
        <v>290</v>
      </c>
      <c r="Q367" s="199"/>
      <c r="R367" s="199" t="s">
        <v>291</v>
      </c>
      <c r="S367" s="199"/>
      <c r="T367" s="198" t="s">
        <v>292</v>
      </c>
      <c r="U367" s="198"/>
      <c r="V367" s="199" t="s">
        <v>293</v>
      </c>
      <c r="W367" s="199"/>
      <c r="X367" s="114" t="s">
        <v>298</v>
      </c>
      <c r="Y367" s="114" t="s">
        <v>299</v>
      </c>
      <c r="Z367" s="200" t="s">
        <v>294</v>
      </c>
      <c r="AA367" s="40">
        <v>2020</v>
      </c>
      <c r="AB367" s="207" t="s">
        <v>295</v>
      </c>
      <c r="AC367" s="208"/>
      <c r="AD367" s="61" t="s">
        <v>296</v>
      </c>
      <c r="AE367" s="57" t="s">
        <v>296</v>
      </c>
      <c r="AF367" s="10"/>
    </row>
    <row r="368" spans="1:32" ht="12.75">
      <c r="A368" s="206"/>
      <c r="B368" s="66" t="s">
        <v>153</v>
      </c>
      <c r="C368" s="10" t="s">
        <v>0</v>
      </c>
      <c r="D368" s="198"/>
      <c r="E368" s="198"/>
      <c r="F368" s="199"/>
      <c r="G368" s="199"/>
      <c r="H368" s="113"/>
      <c r="I368" s="109" t="s">
        <v>131</v>
      </c>
      <c r="J368" s="208"/>
      <c r="K368" s="208"/>
      <c r="L368" s="209"/>
      <c r="M368" s="209"/>
      <c r="N368" s="10" t="s">
        <v>2</v>
      </c>
      <c r="O368" s="68" t="s">
        <v>161</v>
      </c>
      <c r="P368" s="199"/>
      <c r="Q368" s="199"/>
      <c r="R368" s="199"/>
      <c r="S368" s="199"/>
      <c r="T368" s="198"/>
      <c r="U368" s="198"/>
      <c r="V368" s="199"/>
      <c r="W368" s="199"/>
      <c r="X368" s="114" t="s">
        <v>131</v>
      </c>
      <c r="Y368" s="114"/>
      <c r="Z368" s="201"/>
      <c r="AA368" s="41" t="s">
        <v>145</v>
      </c>
      <c r="AB368" s="207"/>
      <c r="AC368" s="208"/>
      <c r="AD368" s="61" t="s">
        <v>145</v>
      </c>
      <c r="AE368" s="57" t="s">
        <v>297</v>
      </c>
      <c r="AF368" s="10" t="s">
        <v>3</v>
      </c>
    </row>
    <row r="369" spans="1:32" ht="12.75" customHeight="1">
      <c r="A369" s="206"/>
      <c r="B369" s="66" t="s">
        <v>151</v>
      </c>
      <c r="C369" s="10" t="s">
        <v>1</v>
      </c>
      <c r="D369" s="198"/>
      <c r="E369" s="198"/>
      <c r="F369" s="199"/>
      <c r="G369" s="199"/>
      <c r="H369" s="113"/>
      <c r="I369" s="109"/>
      <c r="J369" s="208"/>
      <c r="K369" s="208"/>
      <c r="L369" s="209"/>
      <c r="M369" s="209"/>
      <c r="N369" s="10" t="s">
        <v>97</v>
      </c>
      <c r="O369" s="68" t="s">
        <v>270</v>
      </c>
      <c r="P369" s="199"/>
      <c r="Q369" s="199"/>
      <c r="R369" s="199"/>
      <c r="S369" s="199"/>
      <c r="T369" s="198"/>
      <c r="U369" s="198"/>
      <c r="V369" s="199"/>
      <c r="W369" s="199"/>
      <c r="X369" s="109"/>
      <c r="Y369" s="109"/>
      <c r="Z369" s="202"/>
      <c r="AA369" s="39" t="s">
        <v>143</v>
      </c>
      <c r="AB369" s="208"/>
      <c r="AC369" s="208"/>
      <c r="AD369" s="61"/>
      <c r="AE369" s="57"/>
      <c r="AF369" s="125"/>
    </row>
    <row r="370" spans="1:32" ht="52.5" customHeight="1">
      <c r="A370" s="78" t="s">
        <v>209</v>
      </c>
      <c r="B370" s="10" t="s">
        <v>154</v>
      </c>
      <c r="C370" s="10" t="s">
        <v>302</v>
      </c>
      <c r="D370" s="10" t="s">
        <v>5</v>
      </c>
      <c r="E370" s="11" t="s">
        <v>7</v>
      </c>
      <c r="F370" s="10" t="s">
        <v>95</v>
      </c>
      <c r="G370" s="10" t="s">
        <v>96</v>
      </c>
      <c r="H370" s="113" t="s">
        <v>7</v>
      </c>
      <c r="I370" s="109"/>
      <c r="J370" s="10" t="s">
        <v>5</v>
      </c>
      <c r="K370" s="12" t="s">
        <v>277</v>
      </c>
      <c r="L370" s="10" t="s">
        <v>5</v>
      </c>
      <c r="M370" s="10" t="s">
        <v>7</v>
      </c>
      <c r="N370" s="10"/>
      <c r="O370" s="68"/>
      <c r="P370" s="10" t="s">
        <v>5</v>
      </c>
      <c r="Q370" s="10" t="s">
        <v>7</v>
      </c>
      <c r="R370" s="10" t="s">
        <v>272</v>
      </c>
      <c r="S370" s="10" t="s">
        <v>273</v>
      </c>
      <c r="T370" s="10" t="s">
        <v>5</v>
      </c>
      <c r="U370" s="11" t="s">
        <v>7</v>
      </c>
      <c r="V370" s="10" t="s">
        <v>95</v>
      </c>
      <c r="W370" s="10" t="s">
        <v>96</v>
      </c>
      <c r="X370" s="109"/>
      <c r="Y370" s="109"/>
      <c r="Z370" s="10"/>
      <c r="AA370" s="10"/>
      <c r="AB370" s="10" t="s">
        <v>5</v>
      </c>
      <c r="AC370" s="12" t="s">
        <v>334</v>
      </c>
      <c r="AD370" s="61" t="s">
        <v>335</v>
      </c>
      <c r="AE370" s="57" t="s">
        <v>336</v>
      </c>
      <c r="AF370" s="125"/>
    </row>
    <row r="371" spans="1:32" ht="40.5" customHeight="1">
      <c r="A371" s="10"/>
      <c r="B371" s="10"/>
      <c r="C371" s="125"/>
      <c r="D371" s="10" t="s">
        <v>6</v>
      </c>
      <c r="E371" s="11" t="s">
        <v>6</v>
      </c>
      <c r="F371" s="10"/>
      <c r="G371" s="10"/>
      <c r="H371" s="113" t="s">
        <v>6</v>
      </c>
      <c r="I371" s="109" t="s">
        <v>300</v>
      </c>
      <c r="J371" s="10" t="s">
        <v>6</v>
      </c>
      <c r="K371" s="12" t="s">
        <v>6</v>
      </c>
      <c r="L371" s="10" t="s">
        <v>6</v>
      </c>
      <c r="M371" s="10" t="s">
        <v>6</v>
      </c>
      <c r="N371" s="125"/>
      <c r="O371" s="126"/>
      <c r="P371" s="10" t="s">
        <v>6</v>
      </c>
      <c r="Q371" s="10" t="s">
        <v>6</v>
      </c>
      <c r="R371" s="10" t="s">
        <v>6</v>
      </c>
      <c r="S371" s="10" t="s">
        <v>6</v>
      </c>
      <c r="T371" s="10" t="s">
        <v>6</v>
      </c>
      <c r="U371" s="11" t="s">
        <v>6</v>
      </c>
      <c r="V371" s="10"/>
      <c r="W371" s="10"/>
      <c r="X371" s="109" t="s">
        <v>6</v>
      </c>
      <c r="Y371" s="109" t="s">
        <v>300</v>
      </c>
      <c r="Z371" s="10" t="s">
        <v>6</v>
      </c>
      <c r="AA371" s="10" t="s">
        <v>6</v>
      </c>
      <c r="AB371" s="10" t="s">
        <v>6</v>
      </c>
      <c r="AC371" s="12" t="s">
        <v>6</v>
      </c>
      <c r="AD371" s="61" t="s">
        <v>6</v>
      </c>
      <c r="AE371" s="57" t="s">
        <v>6</v>
      </c>
      <c r="AF371" s="125"/>
    </row>
    <row r="372" spans="1:32" ht="12.75" customHeight="1">
      <c r="A372" s="10" t="s">
        <v>4</v>
      </c>
      <c r="B372" s="10"/>
      <c r="C372" s="125"/>
      <c r="D372" s="125"/>
      <c r="E372" s="127"/>
      <c r="F372" s="125"/>
      <c r="G372" s="125"/>
      <c r="H372" s="125"/>
      <c r="I372" s="125"/>
      <c r="J372" s="125"/>
      <c r="K372" s="128"/>
      <c r="L372" s="125"/>
      <c r="M372" s="125"/>
      <c r="N372" s="125"/>
      <c r="O372" s="126"/>
      <c r="P372" s="125"/>
      <c r="Q372" s="125"/>
      <c r="R372" s="125"/>
      <c r="S372" s="125"/>
      <c r="T372" s="125"/>
      <c r="U372" s="13"/>
      <c r="V372" s="44"/>
      <c r="W372" s="44"/>
      <c r="X372" s="44"/>
      <c r="Y372" s="44"/>
      <c r="Z372" s="125"/>
      <c r="AA372" s="125"/>
      <c r="AB372" s="125"/>
      <c r="AC372" s="128"/>
      <c r="AD372" s="121"/>
      <c r="AE372" s="130"/>
      <c r="AF372" s="125"/>
    </row>
    <row r="373" spans="1:32" ht="12.75" customHeight="1">
      <c r="A373" s="54" t="s">
        <v>84</v>
      </c>
      <c r="B373" s="54"/>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row>
    <row r="374" spans="1:32" ht="12.75">
      <c r="A374" s="16" t="s">
        <v>303</v>
      </c>
      <c r="B374" s="16" t="s">
        <v>155</v>
      </c>
      <c r="C374" s="17" t="s">
        <v>139</v>
      </c>
      <c r="D374" s="18">
        <v>2.5</v>
      </c>
      <c r="E374" s="46">
        <v>1.3</v>
      </c>
      <c r="F374" s="17" t="s">
        <v>131</v>
      </c>
      <c r="G374" s="17" t="s">
        <v>127</v>
      </c>
      <c r="H374" s="18">
        <v>1.3</v>
      </c>
      <c r="I374" s="17"/>
      <c r="J374" s="18">
        <v>2.74</v>
      </c>
      <c r="K374" s="37">
        <v>1.26</v>
      </c>
      <c r="L374" s="18">
        <f>SUM(D374)</f>
        <v>2.5</v>
      </c>
      <c r="M374" s="47">
        <f aca="true" t="shared" si="178" ref="M374:M382">SUM(E374-K374)</f>
        <v>0.040000000000000036</v>
      </c>
      <c r="N374" s="17" t="s">
        <v>108</v>
      </c>
      <c r="O374" s="131">
        <v>3233</v>
      </c>
      <c r="P374" s="18">
        <f aca="true" t="shared" si="179" ref="P374:P382">SUM(O374*84)*(1.25)/1000000</f>
        <v>0.339465</v>
      </c>
      <c r="Q374" s="18">
        <f aca="true" t="shared" si="180" ref="Q374:Q382">SUM(O374*84)/1000000</f>
        <v>0.271572</v>
      </c>
      <c r="R374" s="18">
        <f aca="true" t="shared" si="181" ref="R374:R382">SUM(E374*0.06)</f>
        <v>0.078</v>
      </c>
      <c r="S374" s="17"/>
      <c r="T374" s="18">
        <f aca="true" t="shared" si="182" ref="T374:T382">SUM(D374+P374)-(R374+S374)</f>
        <v>2.7614650000000003</v>
      </c>
      <c r="U374" s="46">
        <f aca="true" t="shared" si="183" ref="U374:U382">SUM(E374+Q374)-(R374+S374)</f>
        <v>1.493572</v>
      </c>
      <c r="V374" s="50" t="s">
        <v>131</v>
      </c>
      <c r="W374" s="50" t="s">
        <v>144</v>
      </c>
      <c r="X374" s="50">
        <f aca="true" t="shared" si="184" ref="X374:X382">SUM(U374)</f>
        <v>1.493572</v>
      </c>
      <c r="Y374" s="50"/>
      <c r="Z374" s="17">
        <v>0.23</v>
      </c>
      <c r="AA374" s="18">
        <f aca="true" t="shared" si="185" ref="AA374:AA382">K374+Z374</f>
        <v>1.49</v>
      </c>
      <c r="AB374" s="18">
        <f aca="true" t="shared" si="186" ref="AB374:AB382">SUM(U374)</f>
        <v>1.493572</v>
      </c>
      <c r="AC374" s="37">
        <f>SUM(U374*1)</f>
        <v>1.493572</v>
      </c>
      <c r="AD374" s="62">
        <f aca="true" t="shared" si="187" ref="AD374:AD382">SUM(AC374-K374)</f>
        <v>0.2335719999999999</v>
      </c>
      <c r="AE374" s="58">
        <f>SUM(AD374*0.7)</f>
        <v>0.1635003999999999</v>
      </c>
      <c r="AF374" s="17" t="s">
        <v>280</v>
      </c>
    </row>
    <row r="375" spans="1:32" ht="12.75">
      <c r="A375" s="16" t="s">
        <v>85</v>
      </c>
      <c r="B375" s="16" t="s">
        <v>155</v>
      </c>
      <c r="C375" s="17" t="s">
        <v>139</v>
      </c>
      <c r="D375" s="18">
        <v>0.17</v>
      </c>
      <c r="E375" s="46">
        <v>0.1</v>
      </c>
      <c r="F375" s="17" t="s">
        <v>128</v>
      </c>
      <c r="G375" s="17" t="s">
        <v>127</v>
      </c>
      <c r="H375" s="18">
        <v>0</v>
      </c>
      <c r="I375" s="17"/>
      <c r="J375" s="18">
        <v>0.09</v>
      </c>
      <c r="K375" s="37">
        <v>0.06</v>
      </c>
      <c r="L375" s="18">
        <f>SUM(D375)</f>
        <v>0.17</v>
      </c>
      <c r="M375" s="47">
        <f t="shared" si="178"/>
        <v>0.04000000000000001</v>
      </c>
      <c r="N375" s="17" t="s">
        <v>122</v>
      </c>
      <c r="O375" s="70">
        <v>0</v>
      </c>
      <c r="P375" s="18">
        <f t="shared" si="179"/>
        <v>0</v>
      </c>
      <c r="Q375" s="18">
        <f t="shared" si="180"/>
        <v>0</v>
      </c>
      <c r="R375" s="18">
        <f t="shared" si="181"/>
        <v>0.006</v>
      </c>
      <c r="S375" s="18"/>
      <c r="T375" s="18">
        <f t="shared" si="182"/>
        <v>0.164</v>
      </c>
      <c r="U375" s="46">
        <f t="shared" si="183"/>
        <v>0.094</v>
      </c>
      <c r="V375" s="50" t="s">
        <v>131</v>
      </c>
      <c r="W375" s="50" t="s">
        <v>144</v>
      </c>
      <c r="X375" s="50">
        <f t="shared" si="184"/>
        <v>0.094</v>
      </c>
      <c r="Y375" s="50"/>
      <c r="Z375" s="17"/>
      <c r="AA375" s="18">
        <f t="shared" si="185"/>
        <v>0.06</v>
      </c>
      <c r="AB375" s="18">
        <f t="shared" si="186"/>
        <v>0.094</v>
      </c>
      <c r="AC375" s="37">
        <f>SUM(U375*0.7)</f>
        <v>0.0658</v>
      </c>
      <c r="AD375" s="62">
        <f t="shared" si="187"/>
        <v>0.0058</v>
      </c>
      <c r="AE375" s="58">
        <f aca="true" t="shared" si="188" ref="AE375:AE382">SUM(AD375*0.7)</f>
        <v>0.004059999999999999</v>
      </c>
      <c r="AF375" s="17" t="s">
        <v>105</v>
      </c>
    </row>
    <row r="376" spans="1:32" ht="25.5">
      <c r="A376" s="16" t="s">
        <v>86</v>
      </c>
      <c r="B376" s="16" t="s">
        <v>155</v>
      </c>
      <c r="C376" s="17" t="s">
        <v>139</v>
      </c>
      <c r="D376" s="18">
        <v>4.4</v>
      </c>
      <c r="E376" s="46">
        <v>1.59</v>
      </c>
      <c r="F376" s="17" t="s">
        <v>128</v>
      </c>
      <c r="G376" s="17" t="s">
        <v>127</v>
      </c>
      <c r="H376" s="18">
        <v>0</v>
      </c>
      <c r="I376" s="17"/>
      <c r="J376" s="18">
        <v>7.24</v>
      </c>
      <c r="K376" s="37">
        <v>0.73</v>
      </c>
      <c r="L376" s="18">
        <v>4.75</v>
      </c>
      <c r="M376" s="47">
        <f t="shared" si="178"/>
        <v>0.8600000000000001</v>
      </c>
      <c r="N376" s="17" t="s">
        <v>123</v>
      </c>
      <c r="O376" s="131">
        <v>47326</v>
      </c>
      <c r="P376" s="18">
        <f t="shared" si="179"/>
        <v>4.96923</v>
      </c>
      <c r="Q376" s="18">
        <f t="shared" si="180"/>
        <v>3.975384</v>
      </c>
      <c r="R376" s="18">
        <f t="shared" si="181"/>
        <v>0.0954</v>
      </c>
      <c r="S376" s="17"/>
      <c r="T376" s="18">
        <f t="shared" si="182"/>
        <v>9.27383</v>
      </c>
      <c r="U376" s="46">
        <f t="shared" si="183"/>
        <v>5.469984</v>
      </c>
      <c r="V376" s="50" t="s">
        <v>131</v>
      </c>
      <c r="W376" s="50" t="s">
        <v>144</v>
      </c>
      <c r="X376" s="50">
        <f t="shared" si="184"/>
        <v>5.469984</v>
      </c>
      <c r="Y376" s="50"/>
      <c r="Z376" s="18">
        <v>1.96</v>
      </c>
      <c r="AA376" s="18">
        <f t="shared" si="185"/>
        <v>2.69</v>
      </c>
      <c r="AB376" s="18">
        <f t="shared" si="186"/>
        <v>5.469984</v>
      </c>
      <c r="AC376" s="37">
        <f>SUM(U376*0.7)</f>
        <v>3.8289888</v>
      </c>
      <c r="AD376" s="62">
        <f t="shared" si="187"/>
        <v>3.0989888</v>
      </c>
      <c r="AE376" s="58">
        <f t="shared" si="188"/>
        <v>2.16929216</v>
      </c>
      <c r="AF376" s="17" t="s">
        <v>397</v>
      </c>
    </row>
    <row r="377" spans="1:32" ht="25.5">
      <c r="A377" s="16" t="s">
        <v>360</v>
      </c>
      <c r="B377" s="16" t="s">
        <v>155</v>
      </c>
      <c r="C377" s="17" t="s">
        <v>139</v>
      </c>
      <c r="D377" s="18">
        <v>8.7</v>
      </c>
      <c r="E377" s="46">
        <v>4.83</v>
      </c>
      <c r="F377" s="17" t="s">
        <v>128</v>
      </c>
      <c r="G377" s="17" t="s">
        <v>127</v>
      </c>
      <c r="H377" s="18">
        <v>0</v>
      </c>
      <c r="I377" s="17"/>
      <c r="J377" s="18">
        <v>11.8</v>
      </c>
      <c r="K377" s="37">
        <v>2.8</v>
      </c>
      <c r="L377" s="18">
        <f aca="true" t="shared" si="189" ref="L377:L382">SUM(D377)</f>
        <v>8.7</v>
      </c>
      <c r="M377" s="47">
        <f t="shared" si="178"/>
        <v>2.0300000000000002</v>
      </c>
      <c r="N377" s="17" t="s">
        <v>113</v>
      </c>
      <c r="O377" s="131">
        <v>6467</v>
      </c>
      <c r="P377" s="18">
        <f t="shared" si="179"/>
        <v>0.679035</v>
      </c>
      <c r="Q377" s="18">
        <f t="shared" si="180"/>
        <v>0.543228</v>
      </c>
      <c r="R377" s="18">
        <f t="shared" si="181"/>
        <v>0.2898</v>
      </c>
      <c r="S377" s="17"/>
      <c r="T377" s="18">
        <f t="shared" si="182"/>
        <v>9.089235</v>
      </c>
      <c r="U377" s="46">
        <f t="shared" si="183"/>
        <v>5.0834280000000005</v>
      </c>
      <c r="V377" s="50" t="s">
        <v>131</v>
      </c>
      <c r="W377" s="50" t="s">
        <v>144</v>
      </c>
      <c r="X377" s="50">
        <f t="shared" si="184"/>
        <v>5.0834280000000005</v>
      </c>
      <c r="Y377" s="50"/>
      <c r="Z377" s="17"/>
      <c r="AA377" s="18">
        <f t="shared" si="185"/>
        <v>2.8</v>
      </c>
      <c r="AB377" s="18">
        <f t="shared" si="186"/>
        <v>5.0834280000000005</v>
      </c>
      <c r="AC377" s="37">
        <f>SUM(U377*0.7)</f>
        <v>3.5583996</v>
      </c>
      <c r="AD377" s="62">
        <f t="shared" si="187"/>
        <v>0.7583996000000002</v>
      </c>
      <c r="AE377" s="58">
        <f t="shared" si="188"/>
        <v>0.53087972</v>
      </c>
      <c r="AF377" s="17" t="s">
        <v>398</v>
      </c>
    </row>
    <row r="378" spans="1:32" ht="25.5">
      <c r="A378" s="16" t="s">
        <v>87</v>
      </c>
      <c r="B378" s="16" t="s">
        <v>155</v>
      </c>
      <c r="C378" s="17" t="s">
        <v>139</v>
      </c>
      <c r="D378" s="18">
        <v>4.8</v>
      </c>
      <c r="E378" s="46">
        <v>3.78</v>
      </c>
      <c r="F378" s="17" t="s">
        <v>131</v>
      </c>
      <c r="G378" s="17" t="s">
        <v>127</v>
      </c>
      <c r="H378" s="18">
        <v>3.78</v>
      </c>
      <c r="I378" s="17"/>
      <c r="J378" s="18" t="s">
        <v>147</v>
      </c>
      <c r="K378" s="37">
        <v>2.8</v>
      </c>
      <c r="L378" s="18">
        <v>4.87</v>
      </c>
      <c r="M378" s="47">
        <f t="shared" si="178"/>
        <v>0.98</v>
      </c>
      <c r="N378" s="17" t="s">
        <v>113</v>
      </c>
      <c r="O378" s="131">
        <v>6467</v>
      </c>
      <c r="P378" s="18">
        <f t="shared" si="179"/>
        <v>0.679035</v>
      </c>
      <c r="Q378" s="18">
        <f t="shared" si="180"/>
        <v>0.543228</v>
      </c>
      <c r="R378" s="18">
        <f t="shared" si="181"/>
        <v>0.22679999999999997</v>
      </c>
      <c r="S378" s="17"/>
      <c r="T378" s="18">
        <f t="shared" si="182"/>
        <v>5.252235</v>
      </c>
      <c r="U378" s="46">
        <f t="shared" si="183"/>
        <v>4.096428</v>
      </c>
      <c r="V378" s="50" t="s">
        <v>131</v>
      </c>
      <c r="W378" s="50" t="s">
        <v>144</v>
      </c>
      <c r="X378" s="50">
        <f t="shared" si="184"/>
        <v>4.096428</v>
      </c>
      <c r="Y378" s="50"/>
      <c r="Z378" s="18"/>
      <c r="AA378" s="18">
        <f t="shared" si="185"/>
        <v>2.8</v>
      </c>
      <c r="AB378" s="18">
        <f t="shared" si="186"/>
        <v>4.096428</v>
      </c>
      <c r="AC378" s="37">
        <f>SUM(U378*0.7)</f>
        <v>2.8674996</v>
      </c>
      <c r="AD378" s="62">
        <f t="shared" si="187"/>
        <v>0.0674996000000001</v>
      </c>
      <c r="AE378" s="58">
        <f t="shared" si="188"/>
        <v>0.04724972000000007</v>
      </c>
      <c r="AF378" s="17" t="s">
        <v>399</v>
      </c>
    </row>
    <row r="379" spans="1:32" ht="12.75">
      <c r="A379" s="16" t="s">
        <v>88</v>
      </c>
      <c r="B379" s="16" t="s">
        <v>155</v>
      </c>
      <c r="C379" s="17" t="s">
        <v>139</v>
      </c>
      <c r="D379" s="18">
        <v>2</v>
      </c>
      <c r="E379" s="46">
        <v>1.88</v>
      </c>
      <c r="F379" s="17" t="s">
        <v>128</v>
      </c>
      <c r="G379" s="17" t="s">
        <v>127</v>
      </c>
      <c r="H379" s="18">
        <v>0</v>
      </c>
      <c r="I379" s="17"/>
      <c r="J379" s="18">
        <v>7.6</v>
      </c>
      <c r="K379" s="37">
        <v>1.57</v>
      </c>
      <c r="L379" s="18">
        <v>4.1</v>
      </c>
      <c r="M379" s="47">
        <f t="shared" si="178"/>
        <v>0.30999999999999983</v>
      </c>
      <c r="N379" s="17" t="s">
        <v>107</v>
      </c>
      <c r="O379" s="131">
        <v>6467</v>
      </c>
      <c r="P379" s="18">
        <f t="shared" si="179"/>
        <v>0.679035</v>
      </c>
      <c r="Q379" s="18">
        <f t="shared" si="180"/>
        <v>0.543228</v>
      </c>
      <c r="R379" s="18">
        <f t="shared" si="181"/>
        <v>0.11279999999999998</v>
      </c>
      <c r="S379" s="17"/>
      <c r="T379" s="18">
        <f t="shared" si="182"/>
        <v>2.566235</v>
      </c>
      <c r="U379" s="46">
        <f t="shared" si="183"/>
        <v>2.310428</v>
      </c>
      <c r="V379" s="50" t="s">
        <v>131</v>
      </c>
      <c r="W379" s="50" t="s">
        <v>144</v>
      </c>
      <c r="X379" s="50">
        <f t="shared" si="184"/>
        <v>2.310428</v>
      </c>
      <c r="Y379" s="50"/>
      <c r="Z379" s="17"/>
      <c r="AA379" s="18">
        <f t="shared" si="185"/>
        <v>1.57</v>
      </c>
      <c r="AB379" s="18">
        <f t="shared" si="186"/>
        <v>2.310428</v>
      </c>
      <c r="AC379" s="37">
        <f>SUM(U379*0.7)</f>
        <v>1.6172996</v>
      </c>
      <c r="AD379" s="62">
        <f t="shared" si="187"/>
        <v>0.047299599999999886</v>
      </c>
      <c r="AE379" s="58">
        <f t="shared" si="188"/>
        <v>0.03310971999999992</v>
      </c>
      <c r="AF379" s="17" t="s">
        <v>266</v>
      </c>
    </row>
    <row r="380" spans="1:32" ht="25.5">
      <c r="A380" s="16" t="s">
        <v>89</v>
      </c>
      <c r="B380" s="16" t="s">
        <v>155</v>
      </c>
      <c r="C380" s="17" t="s">
        <v>139</v>
      </c>
      <c r="D380" s="18">
        <v>10.2</v>
      </c>
      <c r="E380" s="46">
        <v>6.06</v>
      </c>
      <c r="F380" s="17" t="s">
        <v>131</v>
      </c>
      <c r="G380" s="17" t="s">
        <v>127</v>
      </c>
      <c r="H380" s="18">
        <v>6.06</v>
      </c>
      <c r="I380" s="17"/>
      <c r="J380" s="18">
        <v>13.25</v>
      </c>
      <c r="K380" s="37">
        <v>2.37</v>
      </c>
      <c r="L380" s="18">
        <f t="shared" si="189"/>
        <v>10.2</v>
      </c>
      <c r="M380" s="47">
        <f t="shared" si="178"/>
        <v>3.6899999999999995</v>
      </c>
      <c r="N380" s="17" t="s">
        <v>113</v>
      </c>
      <c r="O380" s="131">
        <v>3664</v>
      </c>
      <c r="P380" s="18">
        <f t="shared" si="179"/>
        <v>0.38472</v>
      </c>
      <c r="Q380" s="18">
        <f t="shared" si="180"/>
        <v>0.307776</v>
      </c>
      <c r="R380" s="18">
        <f t="shared" si="181"/>
        <v>0.3636</v>
      </c>
      <c r="S380" s="17"/>
      <c r="T380" s="18">
        <f t="shared" si="182"/>
        <v>10.221119999999999</v>
      </c>
      <c r="U380" s="46">
        <f t="shared" si="183"/>
        <v>6.004175999999999</v>
      </c>
      <c r="V380" s="50" t="s">
        <v>131</v>
      </c>
      <c r="W380" s="50" t="s">
        <v>144</v>
      </c>
      <c r="X380" s="50">
        <f t="shared" si="184"/>
        <v>6.004175999999999</v>
      </c>
      <c r="Y380" s="50"/>
      <c r="Z380" s="18">
        <v>2</v>
      </c>
      <c r="AA380" s="18">
        <f t="shared" si="185"/>
        <v>4.37</v>
      </c>
      <c r="AB380" s="18">
        <f t="shared" si="186"/>
        <v>6.004175999999999</v>
      </c>
      <c r="AC380" s="37">
        <f>SUM(U380*1)</f>
        <v>6.004175999999999</v>
      </c>
      <c r="AD380" s="62">
        <f t="shared" si="187"/>
        <v>3.634175999999999</v>
      </c>
      <c r="AE380" s="58">
        <f t="shared" si="188"/>
        <v>2.543923199999999</v>
      </c>
      <c r="AF380" s="17" t="s">
        <v>400</v>
      </c>
    </row>
    <row r="381" spans="1:32" ht="12.75">
      <c r="A381" s="16" t="s">
        <v>90</v>
      </c>
      <c r="B381" s="16" t="s">
        <v>155</v>
      </c>
      <c r="C381" s="17" t="s">
        <v>139</v>
      </c>
      <c r="D381" s="18">
        <v>2.7</v>
      </c>
      <c r="E381" s="46">
        <v>1.3</v>
      </c>
      <c r="F381" s="17" t="s">
        <v>131</v>
      </c>
      <c r="G381" s="17" t="s">
        <v>127</v>
      </c>
      <c r="H381" s="18">
        <v>1.3</v>
      </c>
      <c r="I381" s="17"/>
      <c r="J381" s="18">
        <v>0</v>
      </c>
      <c r="K381" s="37">
        <v>0</v>
      </c>
      <c r="L381" s="18">
        <f t="shared" si="189"/>
        <v>2.7</v>
      </c>
      <c r="M381" s="47">
        <f t="shared" si="178"/>
        <v>1.3</v>
      </c>
      <c r="N381" s="17"/>
      <c r="O381" s="70">
        <v>0</v>
      </c>
      <c r="P381" s="18">
        <f t="shared" si="179"/>
        <v>0</v>
      </c>
      <c r="Q381" s="18">
        <f t="shared" si="180"/>
        <v>0</v>
      </c>
      <c r="R381" s="18">
        <f t="shared" si="181"/>
        <v>0.078</v>
      </c>
      <c r="S381" s="17"/>
      <c r="T381" s="18">
        <f t="shared" si="182"/>
        <v>2.6220000000000003</v>
      </c>
      <c r="U381" s="46">
        <f t="shared" si="183"/>
        <v>1.222</v>
      </c>
      <c r="V381" s="50" t="s">
        <v>131</v>
      </c>
      <c r="W381" s="50" t="s">
        <v>144</v>
      </c>
      <c r="X381" s="50">
        <f t="shared" si="184"/>
        <v>1.222</v>
      </c>
      <c r="Y381" s="50"/>
      <c r="Z381" s="17"/>
      <c r="AA381" s="18">
        <f t="shared" si="185"/>
        <v>0</v>
      </c>
      <c r="AB381" s="18">
        <f t="shared" si="186"/>
        <v>1.222</v>
      </c>
      <c r="AC381" s="37">
        <f>SUM(U381*0.7)</f>
        <v>0.8553999999999999</v>
      </c>
      <c r="AD381" s="62">
        <f t="shared" si="187"/>
        <v>0.8553999999999999</v>
      </c>
      <c r="AE381" s="58">
        <f t="shared" si="188"/>
        <v>0.5987799999999999</v>
      </c>
      <c r="AF381" s="17" t="s">
        <v>105</v>
      </c>
    </row>
    <row r="382" spans="1:32" ht="25.5">
      <c r="A382" s="16" t="s">
        <v>262</v>
      </c>
      <c r="B382" s="16" t="s">
        <v>155</v>
      </c>
      <c r="C382" s="17" t="s">
        <v>139</v>
      </c>
      <c r="D382" s="18">
        <v>6</v>
      </c>
      <c r="E382" s="46">
        <v>3.45</v>
      </c>
      <c r="F382" s="17" t="s">
        <v>131</v>
      </c>
      <c r="G382" s="17" t="s">
        <v>127</v>
      </c>
      <c r="H382" s="18">
        <v>3.45</v>
      </c>
      <c r="I382" s="17"/>
      <c r="J382" s="18">
        <v>3.22</v>
      </c>
      <c r="K382" s="37">
        <v>2.82</v>
      </c>
      <c r="L382" s="18">
        <f t="shared" si="189"/>
        <v>6</v>
      </c>
      <c r="M382" s="47">
        <f t="shared" si="178"/>
        <v>0.6300000000000003</v>
      </c>
      <c r="N382" s="17" t="s">
        <v>361</v>
      </c>
      <c r="O382" s="131">
        <v>4618</v>
      </c>
      <c r="P382" s="18">
        <f t="shared" si="179"/>
        <v>0.48489</v>
      </c>
      <c r="Q382" s="18">
        <f t="shared" si="180"/>
        <v>0.387912</v>
      </c>
      <c r="R382" s="18">
        <f t="shared" si="181"/>
        <v>0.207</v>
      </c>
      <c r="S382" s="17"/>
      <c r="T382" s="18">
        <f t="shared" si="182"/>
        <v>6.27789</v>
      </c>
      <c r="U382" s="46">
        <f t="shared" si="183"/>
        <v>3.6309120000000004</v>
      </c>
      <c r="V382" s="50" t="s">
        <v>131</v>
      </c>
      <c r="W382" s="50" t="s">
        <v>144</v>
      </c>
      <c r="X382" s="50">
        <f t="shared" si="184"/>
        <v>3.6309120000000004</v>
      </c>
      <c r="Y382" s="50"/>
      <c r="Z382" s="18"/>
      <c r="AA382" s="18">
        <f t="shared" si="185"/>
        <v>2.82</v>
      </c>
      <c r="AB382" s="18">
        <f t="shared" si="186"/>
        <v>3.6309120000000004</v>
      </c>
      <c r="AC382" s="37">
        <f>SUM(U382*1)</f>
        <v>3.6309120000000004</v>
      </c>
      <c r="AD382" s="62">
        <f t="shared" si="187"/>
        <v>0.8109120000000005</v>
      </c>
      <c r="AE382" s="58">
        <f t="shared" si="188"/>
        <v>0.5676384000000003</v>
      </c>
      <c r="AF382" s="17" t="s">
        <v>401</v>
      </c>
    </row>
    <row r="383" spans="1:32" ht="15">
      <c r="A383" s="14" t="s">
        <v>91</v>
      </c>
      <c r="B383" s="14"/>
      <c r="C383" s="15"/>
      <c r="D383" s="51"/>
      <c r="E383" s="51"/>
      <c r="F383" s="15"/>
      <c r="G383" s="15"/>
      <c r="H383" s="15"/>
      <c r="I383" s="15"/>
      <c r="J383" s="51"/>
      <c r="K383" s="51"/>
      <c r="L383" s="51"/>
      <c r="M383" s="51"/>
      <c r="N383" s="15"/>
      <c r="O383" s="15"/>
      <c r="P383" s="51"/>
      <c r="Q383" s="51"/>
      <c r="R383" s="15"/>
      <c r="S383" s="15"/>
      <c r="T383" s="15"/>
      <c r="U383" s="53"/>
      <c r="V383" s="53"/>
      <c r="W383" s="53"/>
      <c r="X383" s="53"/>
      <c r="Y383" s="53"/>
      <c r="Z383" s="15"/>
      <c r="AA383" s="52"/>
      <c r="AB383" s="15"/>
      <c r="AC383" s="15"/>
      <c r="AD383" s="15"/>
      <c r="AE383" s="15"/>
      <c r="AF383" s="15"/>
    </row>
    <row r="384" spans="1:32" ht="15">
      <c r="A384" s="16" t="s">
        <v>13</v>
      </c>
      <c r="B384" s="16"/>
      <c r="C384" s="17">
        <v>9</v>
      </c>
      <c r="D384" s="18">
        <f>SUM(D374:D382)</f>
        <v>41.47</v>
      </c>
      <c r="E384" s="46">
        <f>SUM(E374:E382)</f>
        <v>24.29</v>
      </c>
      <c r="F384" s="17"/>
      <c r="G384" s="17"/>
      <c r="H384" s="18">
        <f>SUM(H374:H382)</f>
        <v>15.89</v>
      </c>
      <c r="I384" s="17"/>
      <c r="J384" s="18">
        <f>SUM(J374:J382)</f>
        <v>45.94</v>
      </c>
      <c r="K384" s="37">
        <f>SUM(K374:K382)</f>
        <v>14.41</v>
      </c>
      <c r="L384" s="18">
        <f>SUM(L374:L382)</f>
        <v>43.989999999999995</v>
      </c>
      <c r="M384" s="47">
        <f>SUM(M374:M382)</f>
        <v>9.88</v>
      </c>
      <c r="N384" s="17"/>
      <c r="O384" s="131">
        <f aca="true" t="shared" si="190" ref="O384:U384">SUM(O374:O382)</f>
        <v>78242</v>
      </c>
      <c r="P384" s="18">
        <f t="shared" si="190"/>
        <v>8.215409999999999</v>
      </c>
      <c r="Q384" s="18">
        <f t="shared" si="190"/>
        <v>6.572328</v>
      </c>
      <c r="R384" s="18">
        <f t="shared" si="190"/>
        <v>1.4574</v>
      </c>
      <c r="S384" s="18">
        <f t="shared" si="190"/>
        <v>0</v>
      </c>
      <c r="T384" s="18">
        <f t="shared" si="190"/>
        <v>48.22801</v>
      </c>
      <c r="U384" s="46">
        <f t="shared" si="190"/>
        <v>29.404928000000005</v>
      </c>
      <c r="V384" s="43"/>
      <c r="W384" s="43"/>
      <c r="X384" s="50">
        <f>SUM(X374:X382)</f>
        <v>29.404928000000005</v>
      </c>
      <c r="Y384" s="43"/>
      <c r="Z384" s="18">
        <f aca="true" t="shared" si="191" ref="Z384:AE384">SUM(Z374:Z382)</f>
        <v>4.1899999999999995</v>
      </c>
      <c r="AA384" s="18">
        <f t="shared" si="191"/>
        <v>18.6</v>
      </c>
      <c r="AB384" s="18">
        <f t="shared" si="191"/>
        <v>29.404928000000005</v>
      </c>
      <c r="AC384" s="37">
        <f t="shared" si="191"/>
        <v>23.9220476</v>
      </c>
      <c r="AD384" s="62">
        <f t="shared" si="191"/>
        <v>9.512047599999999</v>
      </c>
      <c r="AE384" s="58">
        <f t="shared" si="191"/>
        <v>6.6584333199999985</v>
      </c>
      <c r="AF384" s="20"/>
    </row>
    <row r="385" spans="1:32" ht="15.75" thickBot="1">
      <c r="A385" s="22" t="s">
        <v>14</v>
      </c>
      <c r="B385" s="22"/>
      <c r="C385" s="23">
        <v>0</v>
      </c>
      <c r="D385" s="24">
        <v>0</v>
      </c>
      <c r="E385" s="132">
        <v>0</v>
      </c>
      <c r="F385" s="23"/>
      <c r="G385" s="23"/>
      <c r="H385" s="24">
        <v>0</v>
      </c>
      <c r="I385" s="23"/>
      <c r="J385" s="24">
        <v>0</v>
      </c>
      <c r="K385" s="133">
        <v>0</v>
      </c>
      <c r="L385" s="24"/>
      <c r="M385" s="47">
        <f>SUM(E385-K385)</f>
        <v>0</v>
      </c>
      <c r="N385" s="23"/>
      <c r="O385" s="69">
        <v>0</v>
      </c>
      <c r="P385" s="24">
        <v>0</v>
      </c>
      <c r="Q385" s="24">
        <v>0</v>
      </c>
      <c r="R385" s="24">
        <v>0</v>
      </c>
      <c r="S385" s="24">
        <v>0</v>
      </c>
      <c r="T385" s="24">
        <v>0</v>
      </c>
      <c r="U385" s="132">
        <v>0</v>
      </c>
      <c r="V385" s="45"/>
      <c r="W385" s="45"/>
      <c r="X385" s="45">
        <v>0</v>
      </c>
      <c r="Y385" s="45"/>
      <c r="Z385" s="24">
        <v>0</v>
      </c>
      <c r="AA385" s="18">
        <f>K385+Z385</f>
        <v>0</v>
      </c>
      <c r="AB385" s="24">
        <v>0</v>
      </c>
      <c r="AC385" s="133">
        <v>0</v>
      </c>
      <c r="AD385" s="117">
        <v>0</v>
      </c>
      <c r="AE385" s="59">
        <v>0</v>
      </c>
      <c r="AF385" s="25"/>
    </row>
    <row r="386" spans="1:32" ht="15.75" thickBot="1">
      <c r="A386" s="26" t="s">
        <v>15</v>
      </c>
      <c r="B386" s="65"/>
      <c r="C386" s="98">
        <f>SUM(C384:C385)</f>
        <v>9</v>
      </c>
      <c r="D386" s="28">
        <f>SUM(D384:D385)</f>
        <v>41.47</v>
      </c>
      <c r="E386" s="134">
        <f>SUM(E384:E385)</f>
        <v>24.29</v>
      </c>
      <c r="F386" s="30"/>
      <c r="G386" s="30"/>
      <c r="H386" s="28">
        <f>SUM(H384:H385)</f>
        <v>15.89</v>
      </c>
      <c r="I386" s="135">
        <f>(H386/E386)</f>
        <v>0.654178674351585</v>
      </c>
      <c r="J386" s="28">
        <f>SUM(J384:J385)</f>
        <v>45.94</v>
      </c>
      <c r="K386" s="136">
        <f>SUM(K384:K385)</f>
        <v>14.41</v>
      </c>
      <c r="L386" s="28">
        <f>SUM(L384:L385)</f>
        <v>43.989999999999995</v>
      </c>
      <c r="M386" s="48">
        <f>SUM(M384:M385)</f>
        <v>9.88</v>
      </c>
      <c r="N386" s="30"/>
      <c r="O386" s="138">
        <f aca="true" t="shared" si="192" ref="O386:U386">SUM(O384:O385)</f>
        <v>78242</v>
      </c>
      <c r="P386" s="28">
        <f t="shared" si="192"/>
        <v>8.215409999999999</v>
      </c>
      <c r="Q386" s="28">
        <f t="shared" si="192"/>
        <v>6.572328</v>
      </c>
      <c r="R386" s="28">
        <f t="shared" si="192"/>
        <v>1.4574</v>
      </c>
      <c r="S386" s="28">
        <f t="shared" si="192"/>
        <v>0</v>
      </c>
      <c r="T386" s="28">
        <f t="shared" si="192"/>
        <v>48.22801</v>
      </c>
      <c r="U386" s="134">
        <f t="shared" si="192"/>
        <v>29.404928000000005</v>
      </c>
      <c r="V386" s="33"/>
      <c r="W386" s="33"/>
      <c r="X386" s="28">
        <f>SUM(X384:X385)</f>
        <v>29.404928000000005</v>
      </c>
      <c r="Y386" s="135">
        <f>SUM(X386/U386)</f>
        <v>1</v>
      </c>
      <c r="Z386" s="28">
        <f aca="true" t="shared" si="193" ref="Z386:AE386">SUM(Z384:Z385)</f>
        <v>4.1899999999999995</v>
      </c>
      <c r="AA386" s="28">
        <f t="shared" si="193"/>
        <v>18.6</v>
      </c>
      <c r="AB386" s="28">
        <f t="shared" si="193"/>
        <v>29.404928000000005</v>
      </c>
      <c r="AC386" s="136">
        <f t="shared" si="193"/>
        <v>23.9220476</v>
      </c>
      <c r="AD386" s="118">
        <f t="shared" si="193"/>
        <v>9.512047599999999</v>
      </c>
      <c r="AE386" s="60">
        <f t="shared" si="193"/>
        <v>6.6584333199999985</v>
      </c>
      <c r="AF386" s="31"/>
    </row>
    <row r="387" spans="1:32" ht="14.25">
      <c r="A387" s="77" t="s">
        <v>182</v>
      </c>
      <c r="B387" s="77"/>
      <c r="C387" s="76"/>
      <c r="D387" s="75"/>
      <c r="E387" s="75"/>
      <c r="F387" s="76"/>
      <c r="G387" s="76"/>
      <c r="H387" s="76"/>
      <c r="I387" s="76"/>
      <c r="J387" s="75"/>
      <c r="K387" s="76"/>
      <c r="L387" s="75"/>
      <c r="M387" s="76"/>
      <c r="N387" s="76"/>
      <c r="O387" s="73">
        <v>125352</v>
      </c>
      <c r="P387" s="75"/>
      <c r="Q387" s="75"/>
      <c r="R387" s="75"/>
      <c r="S387" s="75"/>
      <c r="T387" s="75"/>
      <c r="U387" s="75"/>
      <c r="V387" s="75"/>
      <c r="W387" s="75"/>
      <c r="X387" s="75"/>
      <c r="Y387" s="75"/>
      <c r="Z387" s="75"/>
      <c r="AA387" s="75"/>
      <c r="AB387" s="75"/>
      <c r="AC387" s="75"/>
      <c r="AD387" s="75"/>
      <c r="AE387" s="75"/>
      <c r="AF387" s="5" t="s">
        <v>265</v>
      </c>
    </row>
    <row r="388" spans="1:32" ht="12.75">
      <c r="A388" s="77" t="s">
        <v>173</v>
      </c>
      <c r="B388" s="77"/>
      <c r="C388" s="76"/>
      <c r="D388" s="75"/>
      <c r="E388" s="75"/>
      <c r="F388" s="76"/>
      <c r="G388" s="76"/>
      <c r="H388" s="76"/>
      <c r="I388" s="76"/>
      <c r="J388" s="75"/>
      <c r="K388" s="76"/>
      <c r="L388" s="75"/>
      <c r="M388" s="76"/>
      <c r="N388" s="76"/>
      <c r="O388" s="74">
        <f>SUM(O386/O387)</f>
        <v>0.6241783138681473</v>
      </c>
      <c r="P388" s="75"/>
      <c r="Q388" s="75"/>
      <c r="R388" s="75"/>
      <c r="S388" s="75"/>
      <c r="T388" s="75"/>
      <c r="U388" s="75"/>
      <c r="V388" s="75"/>
      <c r="W388" s="75"/>
      <c r="X388" s="75"/>
      <c r="Y388" s="75"/>
      <c r="Z388" s="75"/>
      <c r="AA388" s="75"/>
      <c r="AB388" s="75"/>
      <c r="AC388" s="75"/>
      <c r="AD388" s="75"/>
      <c r="AE388" s="75"/>
      <c r="AF388" s="5"/>
    </row>
    <row r="389" spans="1:32" ht="12.75">
      <c r="A389" s="77"/>
      <c r="B389" s="77"/>
      <c r="C389" s="76"/>
      <c r="D389" s="75"/>
      <c r="E389" s="75"/>
      <c r="F389" s="76"/>
      <c r="G389" s="76"/>
      <c r="H389" s="76"/>
      <c r="I389" s="76"/>
      <c r="J389" s="75"/>
      <c r="K389" s="76"/>
      <c r="L389" s="75"/>
      <c r="M389" s="76"/>
      <c r="N389" s="76"/>
      <c r="O389" s="74"/>
      <c r="P389" s="75"/>
      <c r="Q389" s="75"/>
      <c r="R389" s="75"/>
      <c r="S389" s="75"/>
      <c r="T389" s="75"/>
      <c r="U389" s="75"/>
      <c r="V389" s="75"/>
      <c r="W389" s="75"/>
      <c r="X389" s="75"/>
      <c r="Y389" s="75"/>
      <c r="Z389" s="75"/>
      <c r="AA389" s="75"/>
      <c r="AB389" s="75"/>
      <c r="AC389" s="75"/>
      <c r="AD389" s="75"/>
      <c r="AE389" s="75"/>
      <c r="AF389" s="5"/>
    </row>
    <row r="390" spans="1:32" ht="15">
      <c r="A390" s="176" t="s">
        <v>413</v>
      </c>
      <c r="B390" s="35"/>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row>
    <row r="391" spans="1:32" ht="15.75">
      <c r="A391" s="203" t="s">
        <v>333</v>
      </c>
      <c r="B391" s="203"/>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5"/>
    </row>
    <row r="392" spans="1:32" ht="15" customHeight="1">
      <c r="A392" s="206"/>
      <c r="B392" s="64"/>
      <c r="C392" s="10"/>
      <c r="D392" s="198" t="s">
        <v>285</v>
      </c>
      <c r="E392" s="198"/>
      <c r="F392" s="199" t="s">
        <v>286</v>
      </c>
      <c r="G392" s="199"/>
      <c r="H392" s="113" t="s">
        <v>131</v>
      </c>
      <c r="I392" s="109">
        <v>2010</v>
      </c>
      <c r="J392" s="208" t="s">
        <v>287</v>
      </c>
      <c r="K392" s="208"/>
      <c r="L392" s="209" t="s">
        <v>288</v>
      </c>
      <c r="M392" s="209"/>
      <c r="N392" s="10">
        <v>2010</v>
      </c>
      <c r="O392" s="68" t="s">
        <v>289</v>
      </c>
      <c r="P392" s="199" t="s">
        <v>290</v>
      </c>
      <c r="Q392" s="199"/>
      <c r="R392" s="199" t="s">
        <v>291</v>
      </c>
      <c r="S392" s="199"/>
      <c r="T392" s="198" t="s">
        <v>292</v>
      </c>
      <c r="U392" s="198"/>
      <c r="V392" s="199" t="s">
        <v>293</v>
      </c>
      <c r="W392" s="199"/>
      <c r="X392" s="114" t="s">
        <v>298</v>
      </c>
      <c r="Y392" s="114" t="s">
        <v>299</v>
      </c>
      <c r="Z392" s="200" t="s">
        <v>294</v>
      </c>
      <c r="AA392" s="40">
        <v>2020</v>
      </c>
      <c r="AB392" s="207" t="s">
        <v>295</v>
      </c>
      <c r="AC392" s="208"/>
      <c r="AD392" s="61" t="s">
        <v>296</v>
      </c>
      <c r="AE392" s="57" t="s">
        <v>296</v>
      </c>
      <c r="AF392" s="10"/>
    </row>
    <row r="393" spans="1:32" ht="12.75" customHeight="1">
      <c r="A393" s="206"/>
      <c r="B393" s="66" t="s">
        <v>153</v>
      </c>
      <c r="C393" s="10" t="s">
        <v>0</v>
      </c>
      <c r="D393" s="198"/>
      <c r="E393" s="198"/>
      <c r="F393" s="199"/>
      <c r="G393" s="199"/>
      <c r="H393" s="113"/>
      <c r="I393" s="109" t="s">
        <v>131</v>
      </c>
      <c r="J393" s="208"/>
      <c r="K393" s="208"/>
      <c r="L393" s="209"/>
      <c r="M393" s="209"/>
      <c r="N393" s="10" t="s">
        <v>2</v>
      </c>
      <c r="O393" s="68" t="s">
        <v>161</v>
      </c>
      <c r="P393" s="199"/>
      <c r="Q393" s="199"/>
      <c r="R393" s="199"/>
      <c r="S393" s="199"/>
      <c r="T393" s="198"/>
      <c r="U393" s="198"/>
      <c r="V393" s="199"/>
      <c r="W393" s="199"/>
      <c r="X393" s="114" t="s">
        <v>131</v>
      </c>
      <c r="Y393" s="114"/>
      <c r="Z393" s="201"/>
      <c r="AA393" s="41" t="s">
        <v>145</v>
      </c>
      <c r="AB393" s="207"/>
      <c r="AC393" s="208"/>
      <c r="AD393" s="61" t="s">
        <v>145</v>
      </c>
      <c r="AE393" s="57" t="s">
        <v>297</v>
      </c>
      <c r="AF393" s="10" t="s">
        <v>3</v>
      </c>
    </row>
    <row r="394" spans="1:32" ht="12.75" customHeight="1">
      <c r="A394" s="206"/>
      <c r="B394" s="66" t="s">
        <v>151</v>
      </c>
      <c r="C394" s="10" t="s">
        <v>1</v>
      </c>
      <c r="D394" s="198"/>
      <c r="E394" s="198"/>
      <c r="F394" s="199"/>
      <c r="G394" s="199"/>
      <c r="H394" s="113"/>
      <c r="I394" s="109"/>
      <c r="J394" s="208"/>
      <c r="K394" s="208"/>
      <c r="L394" s="209"/>
      <c r="M394" s="209"/>
      <c r="N394" s="10" t="s">
        <v>97</v>
      </c>
      <c r="O394" s="68" t="s">
        <v>270</v>
      </c>
      <c r="P394" s="199"/>
      <c r="Q394" s="199"/>
      <c r="R394" s="199"/>
      <c r="S394" s="199"/>
      <c r="T394" s="198"/>
      <c r="U394" s="198"/>
      <c r="V394" s="199"/>
      <c r="W394" s="199"/>
      <c r="X394" s="109"/>
      <c r="Y394" s="109"/>
      <c r="Z394" s="202"/>
      <c r="AA394" s="39" t="s">
        <v>143</v>
      </c>
      <c r="AB394" s="208"/>
      <c r="AC394" s="208"/>
      <c r="AD394" s="61"/>
      <c r="AE394" s="57"/>
      <c r="AF394" s="125"/>
    </row>
    <row r="395" spans="1:32" ht="51.75" customHeight="1">
      <c r="A395" s="78" t="s">
        <v>201</v>
      </c>
      <c r="B395" s="10" t="s">
        <v>154</v>
      </c>
      <c r="C395" s="10" t="s">
        <v>302</v>
      </c>
      <c r="D395" s="10" t="s">
        <v>5</v>
      </c>
      <c r="E395" s="11" t="s">
        <v>7</v>
      </c>
      <c r="F395" s="10" t="s">
        <v>95</v>
      </c>
      <c r="G395" s="10" t="s">
        <v>96</v>
      </c>
      <c r="H395" s="113" t="s">
        <v>7</v>
      </c>
      <c r="I395" s="109"/>
      <c r="J395" s="10" t="s">
        <v>5</v>
      </c>
      <c r="K395" s="12" t="s">
        <v>277</v>
      </c>
      <c r="L395" s="10" t="s">
        <v>5</v>
      </c>
      <c r="M395" s="42" t="s">
        <v>7</v>
      </c>
      <c r="N395" s="10"/>
      <c r="O395" s="68"/>
      <c r="P395" s="10" t="s">
        <v>5</v>
      </c>
      <c r="Q395" s="10" t="s">
        <v>7</v>
      </c>
      <c r="R395" s="10" t="s">
        <v>272</v>
      </c>
      <c r="S395" s="10" t="s">
        <v>273</v>
      </c>
      <c r="T395" s="10" t="s">
        <v>5</v>
      </c>
      <c r="U395" s="11" t="s">
        <v>7</v>
      </c>
      <c r="V395" s="10" t="s">
        <v>95</v>
      </c>
      <c r="W395" s="10" t="s">
        <v>96</v>
      </c>
      <c r="X395" s="109"/>
      <c r="Y395" s="109"/>
      <c r="Z395" s="10"/>
      <c r="AA395" s="10"/>
      <c r="AB395" s="10" t="s">
        <v>5</v>
      </c>
      <c r="AC395" s="12" t="s">
        <v>334</v>
      </c>
      <c r="AD395" s="61" t="s">
        <v>335</v>
      </c>
      <c r="AE395" s="57" t="s">
        <v>336</v>
      </c>
      <c r="AF395" s="125"/>
    </row>
    <row r="396" spans="1:32" ht="12.75">
      <c r="A396" s="10"/>
      <c r="B396" s="10"/>
      <c r="C396" s="125"/>
      <c r="D396" s="10" t="s">
        <v>6</v>
      </c>
      <c r="E396" s="11" t="s">
        <v>6</v>
      </c>
      <c r="F396" s="10"/>
      <c r="G396" s="10"/>
      <c r="H396" s="113" t="s">
        <v>6</v>
      </c>
      <c r="I396" s="109" t="s">
        <v>300</v>
      </c>
      <c r="J396" s="10" t="s">
        <v>6</v>
      </c>
      <c r="K396" s="12" t="s">
        <v>6</v>
      </c>
      <c r="L396" s="10" t="s">
        <v>6</v>
      </c>
      <c r="M396" s="42" t="s">
        <v>6</v>
      </c>
      <c r="N396" s="125"/>
      <c r="O396" s="126"/>
      <c r="P396" s="10" t="s">
        <v>6</v>
      </c>
      <c r="Q396" s="10" t="s">
        <v>6</v>
      </c>
      <c r="R396" s="10" t="s">
        <v>6</v>
      </c>
      <c r="S396" s="10" t="s">
        <v>6</v>
      </c>
      <c r="T396" s="10" t="s">
        <v>6</v>
      </c>
      <c r="U396" s="11" t="s">
        <v>6</v>
      </c>
      <c r="V396" s="10"/>
      <c r="W396" s="10"/>
      <c r="X396" s="109" t="s">
        <v>6</v>
      </c>
      <c r="Y396" s="109" t="s">
        <v>300</v>
      </c>
      <c r="Z396" s="10" t="s">
        <v>6</v>
      </c>
      <c r="AA396" s="10" t="s">
        <v>6</v>
      </c>
      <c r="AB396" s="10" t="s">
        <v>6</v>
      </c>
      <c r="AC396" s="12" t="s">
        <v>6</v>
      </c>
      <c r="AD396" s="61" t="s">
        <v>6</v>
      </c>
      <c r="AE396" s="57" t="s">
        <v>6</v>
      </c>
      <c r="AF396" s="125"/>
    </row>
    <row r="397" spans="1:32" ht="12.75">
      <c r="A397" s="10" t="s">
        <v>4</v>
      </c>
      <c r="B397" s="10"/>
      <c r="C397" s="125"/>
      <c r="D397" s="125"/>
      <c r="E397" s="127"/>
      <c r="F397" s="125"/>
      <c r="G397" s="125"/>
      <c r="H397" s="125"/>
      <c r="I397" s="125"/>
      <c r="J397" s="125"/>
      <c r="K397" s="128"/>
      <c r="L397" s="125"/>
      <c r="M397" s="129"/>
      <c r="N397" s="125"/>
      <c r="O397" s="126"/>
      <c r="P397" s="125"/>
      <c r="Q397" s="125"/>
      <c r="R397" s="125"/>
      <c r="S397" s="125"/>
      <c r="T397" s="125"/>
      <c r="U397" s="13"/>
      <c r="V397" s="125"/>
      <c r="W397" s="125"/>
      <c r="X397" s="125"/>
      <c r="Y397" s="125"/>
      <c r="Z397" s="125"/>
      <c r="AA397" s="125"/>
      <c r="AB397" s="125"/>
      <c r="AC397" s="128"/>
      <c r="AD397" s="121"/>
      <c r="AE397" s="130"/>
      <c r="AF397" s="125"/>
    </row>
    <row r="398" spans="1:32" ht="15.75">
      <c r="A398" s="54" t="s">
        <v>8</v>
      </c>
      <c r="B398" s="54"/>
      <c r="C398" s="55"/>
      <c r="D398" s="55"/>
      <c r="E398" s="55"/>
      <c r="F398" s="55"/>
      <c r="G398" s="55"/>
      <c r="H398" s="55"/>
      <c r="I398" s="55"/>
      <c r="J398" s="55"/>
      <c r="K398" s="55"/>
      <c r="L398" s="55"/>
      <c r="M398" s="55"/>
      <c r="N398" s="55"/>
      <c r="O398" s="55"/>
      <c r="P398" s="55"/>
      <c r="Q398" s="55"/>
      <c r="R398" s="55"/>
      <c r="S398" s="55"/>
      <c r="T398" s="55"/>
      <c r="U398" s="56"/>
      <c r="V398" s="55"/>
      <c r="W398" s="55"/>
      <c r="X398" s="55"/>
      <c r="Y398" s="55"/>
      <c r="Z398" s="55"/>
      <c r="AA398" s="55"/>
      <c r="AB398" s="55"/>
      <c r="AC398" s="55"/>
      <c r="AD398" s="55"/>
      <c r="AE398" s="55"/>
      <c r="AF398" s="55"/>
    </row>
    <row r="399" spans="1:32" ht="25.5">
      <c r="A399" s="16" t="s">
        <v>9</v>
      </c>
      <c r="B399" s="16" t="s">
        <v>155</v>
      </c>
      <c r="C399" s="17" t="s">
        <v>139</v>
      </c>
      <c r="D399" s="18">
        <v>6</v>
      </c>
      <c r="E399" s="46">
        <v>4.15</v>
      </c>
      <c r="F399" s="17" t="s">
        <v>128</v>
      </c>
      <c r="G399" s="17" t="s">
        <v>127</v>
      </c>
      <c r="H399" s="18">
        <v>0</v>
      </c>
      <c r="I399" s="17"/>
      <c r="J399" s="18">
        <v>2.04</v>
      </c>
      <c r="K399" s="37">
        <v>0.5</v>
      </c>
      <c r="L399" s="18">
        <f aca="true" t="shared" si="194" ref="L399:L406">SUM(D399)</f>
        <v>6</v>
      </c>
      <c r="M399" s="47">
        <f>SUM(E399-K399)</f>
        <v>3.6500000000000004</v>
      </c>
      <c r="N399" s="17" t="s">
        <v>109</v>
      </c>
      <c r="O399" s="131">
        <v>14936</v>
      </c>
      <c r="P399" s="18">
        <f aca="true" t="shared" si="195" ref="P399:P406">SUM(O399*84)*(1.25)/1000000</f>
        <v>1.56828</v>
      </c>
      <c r="Q399" s="18">
        <f aca="true" t="shared" si="196" ref="Q399:Q406">SUM(O399*84)/1000000</f>
        <v>1.254624</v>
      </c>
      <c r="R399" s="18">
        <f aca="true" t="shared" si="197" ref="R399:R406">SUM(E399*0.06)</f>
        <v>0.249</v>
      </c>
      <c r="S399" s="18"/>
      <c r="T399" s="18">
        <f aca="true" t="shared" si="198" ref="T399:T406">SUM(D399+P399)-(R399+S399)</f>
        <v>7.31928</v>
      </c>
      <c r="U399" s="46">
        <f aca="true" t="shared" si="199" ref="U399:U406">SUM(E399+Q399)-(R399+S399)</f>
        <v>5.155624</v>
      </c>
      <c r="V399" s="17" t="s">
        <v>131</v>
      </c>
      <c r="W399" s="17" t="s">
        <v>127</v>
      </c>
      <c r="X399" s="50">
        <f aca="true" t="shared" si="200" ref="X399:X406">SUM(U399)</f>
        <v>5.155624</v>
      </c>
      <c r="Y399" s="17"/>
      <c r="Z399" s="18">
        <v>2.99</v>
      </c>
      <c r="AA399" s="18">
        <f aca="true" t="shared" si="201" ref="AA399:AA406">K399+Z399</f>
        <v>3.49</v>
      </c>
      <c r="AB399" s="18">
        <f>SUM(U399)</f>
        <v>5.155624</v>
      </c>
      <c r="AC399" s="37">
        <f>SUM(U399*0.7)</f>
        <v>3.6089368</v>
      </c>
      <c r="AD399" s="62">
        <f aca="true" t="shared" si="202" ref="AD399:AD406">SUM(AC399-K399)</f>
        <v>3.1089368</v>
      </c>
      <c r="AE399" s="58">
        <f>SUM(AD399*0.7)</f>
        <v>2.1762557599999997</v>
      </c>
      <c r="AF399" s="17" t="s">
        <v>402</v>
      </c>
    </row>
    <row r="400" spans="1:32" ht="12.75">
      <c r="A400" s="16" t="s">
        <v>125</v>
      </c>
      <c r="B400" s="16" t="s">
        <v>155</v>
      </c>
      <c r="C400" s="17" t="s">
        <v>139</v>
      </c>
      <c r="D400" s="18">
        <v>2</v>
      </c>
      <c r="E400" s="46">
        <v>1.02</v>
      </c>
      <c r="F400" s="17" t="s">
        <v>128</v>
      </c>
      <c r="G400" s="17" t="s">
        <v>127</v>
      </c>
      <c r="H400" s="18">
        <v>0</v>
      </c>
      <c r="I400" s="17"/>
      <c r="J400" s="18">
        <v>0.76</v>
      </c>
      <c r="K400" s="37">
        <v>0.51</v>
      </c>
      <c r="L400" s="18">
        <f t="shared" si="194"/>
        <v>2</v>
      </c>
      <c r="M400" s="47">
        <f>SUM(E400-K400)</f>
        <v>0.51</v>
      </c>
      <c r="N400" s="17" t="s">
        <v>107</v>
      </c>
      <c r="O400" s="131">
        <v>7701</v>
      </c>
      <c r="P400" s="18">
        <f t="shared" si="195"/>
        <v>0.808605</v>
      </c>
      <c r="Q400" s="18">
        <f t="shared" si="196"/>
        <v>0.646884</v>
      </c>
      <c r="R400" s="18">
        <f t="shared" si="197"/>
        <v>0.0612</v>
      </c>
      <c r="S400" s="18"/>
      <c r="T400" s="18">
        <f t="shared" si="198"/>
        <v>2.747405</v>
      </c>
      <c r="U400" s="46">
        <f t="shared" si="199"/>
        <v>1.6056840000000001</v>
      </c>
      <c r="V400" s="17" t="s">
        <v>131</v>
      </c>
      <c r="W400" s="17" t="s">
        <v>127</v>
      </c>
      <c r="X400" s="50">
        <f t="shared" si="200"/>
        <v>1.6056840000000001</v>
      </c>
      <c r="Y400" s="17"/>
      <c r="Z400" s="18"/>
      <c r="AA400" s="18">
        <f t="shared" si="201"/>
        <v>0.51</v>
      </c>
      <c r="AB400" s="18">
        <f>SUM(U400)</f>
        <v>1.6056840000000001</v>
      </c>
      <c r="AC400" s="37">
        <f aca="true" t="shared" si="203" ref="AC400:AC406">SUM(U400*0.7)</f>
        <v>1.1239788</v>
      </c>
      <c r="AD400" s="62">
        <f t="shared" si="202"/>
        <v>0.6139787999999999</v>
      </c>
      <c r="AE400" s="58">
        <f aca="true" t="shared" si="204" ref="AE400:AE406">SUM(AD400*0.7)</f>
        <v>0.42978515999999994</v>
      </c>
      <c r="AF400" s="17" t="s">
        <v>126</v>
      </c>
    </row>
    <row r="401" spans="1:32" ht="12.75">
      <c r="A401" s="16" t="s">
        <v>171</v>
      </c>
      <c r="B401" s="16" t="s">
        <v>155</v>
      </c>
      <c r="C401" s="17" t="s">
        <v>139</v>
      </c>
      <c r="D401" s="18">
        <v>1.2</v>
      </c>
      <c r="E401" s="46">
        <v>0.58</v>
      </c>
      <c r="F401" s="17" t="s">
        <v>128</v>
      </c>
      <c r="G401" s="17" t="s">
        <v>127</v>
      </c>
      <c r="H401" s="18">
        <v>0</v>
      </c>
      <c r="I401" s="17"/>
      <c r="J401" s="18">
        <v>0.76</v>
      </c>
      <c r="K401" s="37">
        <v>0.4</v>
      </c>
      <c r="L401" s="18">
        <f t="shared" si="194"/>
        <v>1.2</v>
      </c>
      <c r="M401" s="47">
        <f aca="true" t="shared" si="205" ref="M401:M406">SUM(E401-K401)</f>
        <v>0.17999999999999994</v>
      </c>
      <c r="N401" s="17" t="s">
        <v>110</v>
      </c>
      <c r="O401" s="131">
        <v>6091</v>
      </c>
      <c r="P401" s="18">
        <f t="shared" si="195"/>
        <v>0.639555</v>
      </c>
      <c r="Q401" s="18">
        <f t="shared" si="196"/>
        <v>0.511644</v>
      </c>
      <c r="R401" s="18">
        <f t="shared" si="197"/>
        <v>0.0348</v>
      </c>
      <c r="S401" s="18"/>
      <c r="T401" s="18">
        <f t="shared" si="198"/>
        <v>1.8047549999999999</v>
      </c>
      <c r="U401" s="46">
        <f t="shared" si="199"/>
        <v>1.0568440000000001</v>
      </c>
      <c r="V401" s="17" t="s">
        <v>131</v>
      </c>
      <c r="W401" s="17" t="s">
        <v>127</v>
      </c>
      <c r="X401" s="50">
        <f t="shared" si="200"/>
        <v>1.0568440000000001</v>
      </c>
      <c r="Y401" s="17"/>
      <c r="Z401" s="18"/>
      <c r="AA401" s="18">
        <f t="shared" si="201"/>
        <v>0.4</v>
      </c>
      <c r="AB401" s="18">
        <f aca="true" t="shared" si="206" ref="AB401:AB406">SUM(U401)</f>
        <v>1.0568440000000001</v>
      </c>
      <c r="AC401" s="37">
        <f t="shared" si="203"/>
        <v>0.7397908000000001</v>
      </c>
      <c r="AD401" s="62">
        <f t="shared" si="202"/>
        <v>0.33979080000000006</v>
      </c>
      <c r="AE401" s="58">
        <f t="shared" si="204"/>
        <v>0.23785356000000002</v>
      </c>
      <c r="AF401" s="17" t="s">
        <v>403</v>
      </c>
    </row>
    <row r="402" spans="1:32" ht="25.5">
      <c r="A402" s="16" t="s">
        <v>181</v>
      </c>
      <c r="B402" s="16" t="s">
        <v>155</v>
      </c>
      <c r="C402" s="17" t="s">
        <v>139</v>
      </c>
      <c r="D402" s="18">
        <v>3</v>
      </c>
      <c r="E402" s="46">
        <v>1.51</v>
      </c>
      <c r="F402" s="17" t="s">
        <v>128</v>
      </c>
      <c r="G402" s="17" t="s">
        <v>127</v>
      </c>
      <c r="H402" s="18">
        <v>0</v>
      </c>
      <c r="I402" s="17"/>
      <c r="J402" s="18">
        <v>3.26</v>
      </c>
      <c r="K402" s="37">
        <v>1.2</v>
      </c>
      <c r="L402" s="18">
        <f t="shared" si="194"/>
        <v>3</v>
      </c>
      <c r="M402" s="47">
        <f t="shared" si="205"/>
        <v>0.31000000000000005</v>
      </c>
      <c r="N402" s="17" t="s">
        <v>109</v>
      </c>
      <c r="O402" s="131">
        <v>3983</v>
      </c>
      <c r="P402" s="18">
        <f t="shared" si="195"/>
        <v>0.418215</v>
      </c>
      <c r="Q402" s="18">
        <f t="shared" si="196"/>
        <v>0.334572</v>
      </c>
      <c r="R402" s="18">
        <f t="shared" si="197"/>
        <v>0.0906</v>
      </c>
      <c r="S402" s="18"/>
      <c r="T402" s="18">
        <f t="shared" si="198"/>
        <v>3.327615</v>
      </c>
      <c r="U402" s="46">
        <f t="shared" si="199"/>
        <v>1.7539719999999999</v>
      </c>
      <c r="V402" s="17" t="s">
        <v>131</v>
      </c>
      <c r="W402" s="17" t="s">
        <v>127</v>
      </c>
      <c r="X402" s="50">
        <f t="shared" si="200"/>
        <v>1.7539719999999999</v>
      </c>
      <c r="Y402" s="17"/>
      <c r="Z402" s="18"/>
      <c r="AA402" s="18">
        <f t="shared" si="201"/>
        <v>1.2</v>
      </c>
      <c r="AB402" s="18">
        <f t="shared" si="206"/>
        <v>1.7539719999999999</v>
      </c>
      <c r="AC402" s="37">
        <f t="shared" si="203"/>
        <v>1.2277803999999999</v>
      </c>
      <c r="AD402" s="62">
        <f t="shared" si="202"/>
        <v>0.027780399999999927</v>
      </c>
      <c r="AE402" s="58">
        <f t="shared" si="204"/>
        <v>0.019446279999999948</v>
      </c>
      <c r="AF402" s="17" t="s">
        <v>404</v>
      </c>
    </row>
    <row r="403" spans="1:32" ht="12.75">
      <c r="A403" s="16" t="s">
        <v>10</v>
      </c>
      <c r="B403" s="16" t="s">
        <v>155</v>
      </c>
      <c r="C403" s="17" t="s">
        <v>139</v>
      </c>
      <c r="D403" s="18">
        <v>3.2</v>
      </c>
      <c r="E403" s="46">
        <v>2.25</v>
      </c>
      <c r="F403" s="17" t="s">
        <v>169</v>
      </c>
      <c r="G403" s="17" t="s">
        <v>129</v>
      </c>
      <c r="H403" s="18">
        <v>0</v>
      </c>
      <c r="I403" s="17"/>
      <c r="J403" s="18">
        <v>0</v>
      </c>
      <c r="K403" s="37">
        <v>0</v>
      </c>
      <c r="L403" s="18">
        <f t="shared" si="194"/>
        <v>3.2</v>
      </c>
      <c r="M403" s="47">
        <f t="shared" si="205"/>
        <v>2.25</v>
      </c>
      <c r="N403" s="17"/>
      <c r="O403" s="131">
        <v>2957</v>
      </c>
      <c r="P403" s="18">
        <f t="shared" si="195"/>
        <v>0.310485</v>
      </c>
      <c r="Q403" s="18">
        <f t="shared" si="196"/>
        <v>0.248388</v>
      </c>
      <c r="R403" s="18">
        <f t="shared" si="197"/>
        <v>0.135</v>
      </c>
      <c r="S403" s="18"/>
      <c r="T403" s="18">
        <f t="shared" si="198"/>
        <v>3.3754850000000003</v>
      </c>
      <c r="U403" s="46">
        <f t="shared" si="199"/>
        <v>2.3633879999999996</v>
      </c>
      <c r="V403" s="17" t="s">
        <v>131</v>
      </c>
      <c r="W403" s="17" t="s">
        <v>127</v>
      </c>
      <c r="X403" s="50">
        <f t="shared" si="200"/>
        <v>2.3633879999999996</v>
      </c>
      <c r="Y403" s="17"/>
      <c r="Z403" s="18"/>
      <c r="AA403" s="18">
        <f t="shared" si="201"/>
        <v>0</v>
      </c>
      <c r="AB403" s="18">
        <f t="shared" si="206"/>
        <v>2.3633879999999996</v>
      </c>
      <c r="AC403" s="37">
        <f t="shared" si="203"/>
        <v>1.6543715999999997</v>
      </c>
      <c r="AD403" s="62">
        <f t="shared" si="202"/>
        <v>1.6543715999999997</v>
      </c>
      <c r="AE403" s="58">
        <f t="shared" si="204"/>
        <v>1.1580601199999998</v>
      </c>
      <c r="AF403" s="17">
        <v>1</v>
      </c>
    </row>
    <row r="404" spans="1:32" ht="12.75">
      <c r="A404" s="16" t="s">
        <v>11</v>
      </c>
      <c r="B404" s="16" t="s">
        <v>155</v>
      </c>
      <c r="C404" s="17" t="s">
        <v>139</v>
      </c>
      <c r="D404" s="18">
        <v>0.5</v>
      </c>
      <c r="E404" s="46">
        <v>0.12</v>
      </c>
      <c r="F404" s="17" t="s">
        <v>128</v>
      </c>
      <c r="G404" s="17" t="s">
        <v>132</v>
      </c>
      <c r="H404" s="18">
        <v>0</v>
      </c>
      <c r="I404" s="17"/>
      <c r="J404" s="18">
        <v>0.5</v>
      </c>
      <c r="K404" s="37">
        <v>0.11</v>
      </c>
      <c r="L404" s="18">
        <f t="shared" si="194"/>
        <v>0.5</v>
      </c>
      <c r="M404" s="47">
        <f t="shared" si="205"/>
        <v>0.009999999999999995</v>
      </c>
      <c r="N404" s="17" t="s">
        <v>108</v>
      </c>
      <c r="O404" s="131">
        <v>534</v>
      </c>
      <c r="P404" s="18">
        <f t="shared" si="195"/>
        <v>0.05607</v>
      </c>
      <c r="Q404" s="18">
        <f t="shared" si="196"/>
        <v>0.044856</v>
      </c>
      <c r="R404" s="18">
        <f t="shared" si="197"/>
        <v>0.0072</v>
      </c>
      <c r="S404" s="18"/>
      <c r="T404" s="18">
        <f t="shared" si="198"/>
        <v>0.54887</v>
      </c>
      <c r="U404" s="46">
        <f t="shared" si="199"/>
        <v>0.157656</v>
      </c>
      <c r="V404" s="17" t="s">
        <v>131</v>
      </c>
      <c r="W404" s="17" t="s">
        <v>127</v>
      </c>
      <c r="X404" s="50">
        <f t="shared" si="200"/>
        <v>0.157656</v>
      </c>
      <c r="Y404" s="17"/>
      <c r="Z404" s="18">
        <v>0.79</v>
      </c>
      <c r="AA404" s="18">
        <f t="shared" si="201"/>
        <v>0.9</v>
      </c>
      <c r="AB404" s="18">
        <f t="shared" si="206"/>
        <v>0.157656</v>
      </c>
      <c r="AC404" s="37">
        <f t="shared" si="203"/>
        <v>0.11035919999999999</v>
      </c>
      <c r="AD404" s="62">
        <f t="shared" si="202"/>
        <v>0.0003591999999999901</v>
      </c>
      <c r="AE404" s="58">
        <f t="shared" si="204"/>
        <v>0.000251439999999993</v>
      </c>
      <c r="AF404" s="17" t="s">
        <v>405</v>
      </c>
    </row>
    <row r="405" spans="1:32" ht="12.75">
      <c r="A405" s="16" t="s">
        <v>419</v>
      </c>
      <c r="B405" s="16" t="s">
        <v>155</v>
      </c>
      <c r="C405" s="17" t="s">
        <v>139</v>
      </c>
      <c r="D405" s="18">
        <v>0.15</v>
      </c>
      <c r="E405" s="46">
        <v>0.09</v>
      </c>
      <c r="F405" s="17" t="s">
        <v>128</v>
      </c>
      <c r="G405" s="17" t="s">
        <v>127</v>
      </c>
      <c r="H405" s="18">
        <v>0</v>
      </c>
      <c r="I405" s="17"/>
      <c r="J405" s="18">
        <v>0.15</v>
      </c>
      <c r="K405" s="37">
        <v>0</v>
      </c>
      <c r="L405" s="18">
        <f t="shared" si="194"/>
        <v>0.15</v>
      </c>
      <c r="M405" s="47">
        <f t="shared" si="205"/>
        <v>0.09</v>
      </c>
      <c r="N405" s="17" t="s">
        <v>108</v>
      </c>
      <c r="O405" s="131">
        <v>1095</v>
      </c>
      <c r="P405" s="18">
        <f t="shared" si="195"/>
        <v>0.114975</v>
      </c>
      <c r="Q405" s="18">
        <f t="shared" si="196"/>
        <v>0.09198</v>
      </c>
      <c r="R405" s="18">
        <f t="shared" si="197"/>
        <v>0.005399999999999999</v>
      </c>
      <c r="S405" s="18"/>
      <c r="T405" s="18">
        <f t="shared" si="198"/>
        <v>0.25957499999999994</v>
      </c>
      <c r="U405" s="46">
        <f t="shared" si="199"/>
        <v>0.17658000000000001</v>
      </c>
      <c r="V405" s="17" t="s">
        <v>131</v>
      </c>
      <c r="W405" s="17" t="s">
        <v>127</v>
      </c>
      <c r="X405" s="50">
        <f t="shared" si="200"/>
        <v>0.17658000000000001</v>
      </c>
      <c r="Y405" s="17"/>
      <c r="Z405" s="18"/>
      <c r="AA405" s="18">
        <f t="shared" si="201"/>
        <v>0</v>
      </c>
      <c r="AB405" s="18">
        <f t="shared" si="206"/>
        <v>0.17658000000000001</v>
      </c>
      <c r="AC405" s="37">
        <f t="shared" si="203"/>
        <v>0.12360600000000001</v>
      </c>
      <c r="AD405" s="62">
        <f t="shared" si="202"/>
        <v>0.12360600000000001</v>
      </c>
      <c r="AE405" s="58">
        <f t="shared" si="204"/>
        <v>0.0865242</v>
      </c>
      <c r="AF405" s="17" t="s">
        <v>281</v>
      </c>
    </row>
    <row r="406" spans="1:32" ht="12.75">
      <c r="A406" s="16" t="s">
        <v>124</v>
      </c>
      <c r="B406" s="16" t="s">
        <v>155</v>
      </c>
      <c r="C406" s="17" t="s">
        <v>139</v>
      </c>
      <c r="D406" s="18">
        <v>0.5</v>
      </c>
      <c r="E406" s="46">
        <v>0.31</v>
      </c>
      <c r="F406" s="17" t="s">
        <v>169</v>
      </c>
      <c r="G406" s="17" t="s">
        <v>127</v>
      </c>
      <c r="H406" s="18">
        <v>0</v>
      </c>
      <c r="I406" s="17"/>
      <c r="J406" s="18">
        <v>0</v>
      </c>
      <c r="K406" s="37">
        <v>0</v>
      </c>
      <c r="L406" s="18">
        <f t="shared" si="194"/>
        <v>0.5</v>
      </c>
      <c r="M406" s="47">
        <f t="shared" si="205"/>
        <v>0.31</v>
      </c>
      <c r="N406" s="17"/>
      <c r="O406" s="131">
        <v>3252</v>
      </c>
      <c r="P406" s="18">
        <f t="shared" si="195"/>
        <v>0.34146</v>
      </c>
      <c r="Q406" s="18">
        <f t="shared" si="196"/>
        <v>0.273168</v>
      </c>
      <c r="R406" s="18">
        <f t="shared" si="197"/>
        <v>0.0186</v>
      </c>
      <c r="S406" s="18"/>
      <c r="T406" s="18">
        <f t="shared" si="198"/>
        <v>0.82286</v>
      </c>
      <c r="U406" s="46">
        <f t="shared" si="199"/>
        <v>0.5645680000000001</v>
      </c>
      <c r="V406" s="17" t="s">
        <v>131</v>
      </c>
      <c r="W406" s="17" t="s">
        <v>127</v>
      </c>
      <c r="X406" s="50">
        <f t="shared" si="200"/>
        <v>0.5645680000000001</v>
      </c>
      <c r="Y406" s="17"/>
      <c r="Z406" s="18"/>
      <c r="AA406" s="18">
        <f t="shared" si="201"/>
        <v>0</v>
      </c>
      <c r="AB406" s="18">
        <f t="shared" si="206"/>
        <v>0.5645680000000001</v>
      </c>
      <c r="AC406" s="37">
        <f t="shared" si="203"/>
        <v>0.39519760000000004</v>
      </c>
      <c r="AD406" s="62">
        <f t="shared" si="202"/>
        <v>0.39519760000000004</v>
      </c>
      <c r="AE406" s="58">
        <f t="shared" si="204"/>
        <v>0.27663832</v>
      </c>
      <c r="AF406" s="17">
        <v>1</v>
      </c>
    </row>
    <row r="407" spans="1:32" ht="15">
      <c r="A407" s="14" t="s">
        <v>12</v>
      </c>
      <c r="B407" s="14"/>
      <c r="C407" s="15"/>
      <c r="D407" s="51"/>
      <c r="E407" s="51"/>
      <c r="F407" s="15"/>
      <c r="G407" s="15"/>
      <c r="H407" s="51"/>
      <c r="I407" s="15"/>
      <c r="J407" s="51"/>
      <c r="K407" s="51"/>
      <c r="L407" s="51"/>
      <c r="M407" s="52"/>
      <c r="N407" s="15"/>
      <c r="O407" s="67"/>
      <c r="P407" s="52"/>
      <c r="Q407" s="52"/>
      <c r="R407" s="52"/>
      <c r="S407" s="52"/>
      <c r="T407" s="52"/>
      <c r="U407" s="53"/>
      <c r="V407" s="15"/>
      <c r="W407" s="15"/>
      <c r="X407" s="15"/>
      <c r="Y407" s="15"/>
      <c r="Z407" s="52"/>
      <c r="AA407" s="52"/>
      <c r="AB407" s="52"/>
      <c r="AC407" s="52"/>
      <c r="AD407" s="52"/>
      <c r="AE407" s="52"/>
      <c r="AF407" s="15"/>
    </row>
    <row r="408" spans="1:32" ht="15">
      <c r="A408" s="16" t="s">
        <v>13</v>
      </c>
      <c r="B408" s="16"/>
      <c r="C408" s="17">
        <v>8</v>
      </c>
      <c r="D408" s="18">
        <f>SUM(D399:D406)</f>
        <v>16.549999999999997</v>
      </c>
      <c r="E408" s="46">
        <f>SUM(E399:E406)</f>
        <v>10.03</v>
      </c>
      <c r="F408" s="17"/>
      <c r="G408" s="17"/>
      <c r="H408" s="18">
        <f>SUM(H399:H406)</f>
        <v>0</v>
      </c>
      <c r="I408" s="17"/>
      <c r="J408" s="18">
        <f>SUM(J399:J406)</f>
        <v>7.47</v>
      </c>
      <c r="K408" s="37">
        <f>SUM(K399:K406)</f>
        <v>2.72</v>
      </c>
      <c r="L408" s="18">
        <f>SUM(L399:L406)</f>
        <v>16.549999999999997</v>
      </c>
      <c r="M408" s="47">
        <f>SUM(M399:M406)</f>
        <v>7.31</v>
      </c>
      <c r="N408" s="17"/>
      <c r="O408" s="131">
        <f aca="true" t="shared" si="207" ref="O408:U408">SUM(O399:O406)</f>
        <v>40549</v>
      </c>
      <c r="P408" s="18">
        <f t="shared" si="207"/>
        <v>4.257644999999999</v>
      </c>
      <c r="Q408" s="18">
        <f t="shared" si="207"/>
        <v>3.406116</v>
      </c>
      <c r="R408" s="18">
        <f t="shared" si="207"/>
        <v>0.6017999999999999</v>
      </c>
      <c r="S408" s="18">
        <f t="shared" si="207"/>
        <v>0</v>
      </c>
      <c r="T408" s="18">
        <f t="shared" si="207"/>
        <v>20.205845</v>
      </c>
      <c r="U408" s="46">
        <f t="shared" si="207"/>
        <v>12.834315999999998</v>
      </c>
      <c r="V408" s="17"/>
      <c r="W408" s="17"/>
      <c r="X408" s="18">
        <f>SUM(X399:X406)</f>
        <v>12.834315999999998</v>
      </c>
      <c r="Y408" s="17"/>
      <c r="Z408" s="18">
        <f aca="true" t="shared" si="208" ref="Z408:AE408">SUM(Z399:Z406)</f>
        <v>3.7800000000000002</v>
      </c>
      <c r="AA408" s="18">
        <f t="shared" si="208"/>
        <v>6.500000000000001</v>
      </c>
      <c r="AB408" s="18">
        <f t="shared" si="208"/>
        <v>12.834315999999998</v>
      </c>
      <c r="AC408" s="37">
        <f t="shared" si="208"/>
        <v>8.984021199999999</v>
      </c>
      <c r="AD408" s="62">
        <f t="shared" si="208"/>
        <v>6.2640212</v>
      </c>
      <c r="AE408" s="58">
        <f t="shared" si="208"/>
        <v>4.38481484</v>
      </c>
      <c r="AF408" s="20"/>
    </row>
    <row r="409" spans="1:32" ht="15.75" thickBot="1">
      <c r="A409" s="22" t="s">
        <v>14</v>
      </c>
      <c r="B409" s="22"/>
      <c r="C409" s="23">
        <v>0</v>
      </c>
      <c r="D409" s="24">
        <v>0</v>
      </c>
      <c r="E409" s="132">
        <v>0</v>
      </c>
      <c r="F409" s="23"/>
      <c r="G409" s="23"/>
      <c r="H409" s="24">
        <v>0</v>
      </c>
      <c r="I409" s="23"/>
      <c r="J409" s="24">
        <v>0</v>
      </c>
      <c r="K409" s="133">
        <v>0</v>
      </c>
      <c r="L409" s="24">
        <v>0</v>
      </c>
      <c r="M409" s="47">
        <f>SUM(E409-K409)</f>
        <v>0</v>
      </c>
      <c r="N409" s="23"/>
      <c r="O409" s="69">
        <v>0</v>
      </c>
      <c r="P409" s="24">
        <v>0</v>
      </c>
      <c r="Q409" s="24"/>
      <c r="R409" s="24">
        <v>0</v>
      </c>
      <c r="S409" s="24">
        <v>0</v>
      </c>
      <c r="T409" s="24"/>
      <c r="U409" s="132">
        <v>0</v>
      </c>
      <c r="V409" s="23"/>
      <c r="W409" s="23"/>
      <c r="X409" s="23">
        <v>0</v>
      </c>
      <c r="Y409" s="23"/>
      <c r="Z409" s="24">
        <v>0</v>
      </c>
      <c r="AA409" s="18">
        <f>K409+Z409</f>
        <v>0</v>
      </c>
      <c r="AB409" s="24">
        <v>0</v>
      </c>
      <c r="AC409" s="133">
        <v>0</v>
      </c>
      <c r="AD409" s="62">
        <f>SUM(AC409-K409)</f>
        <v>0</v>
      </c>
      <c r="AE409" s="59">
        <v>0</v>
      </c>
      <c r="AF409" s="25"/>
    </row>
    <row r="410" spans="1:32" ht="13.5" thickBot="1">
      <c r="A410" s="26" t="s">
        <v>15</v>
      </c>
      <c r="B410" s="65"/>
      <c r="C410" s="98">
        <f>SUM(C408:C409)</f>
        <v>8</v>
      </c>
      <c r="D410" s="28">
        <f>SUM(D408:D409)</f>
        <v>16.549999999999997</v>
      </c>
      <c r="E410" s="134">
        <f>SUM(E408:E409)</f>
        <v>10.03</v>
      </c>
      <c r="F410" s="27"/>
      <c r="G410" s="27"/>
      <c r="H410" s="28">
        <f>SUM(H408:H409)</f>
        <v>0</v>
      </c>
      <c r="I410" s="135">
        <f>(H410/E410)</f>
        <v>0</v>
      </c>
      <c r="J410" s="28">
        <f>SUM(J408:J409)</f>
        <v>7.47</v>
      </c>
      <c r="K410" s="136">
        <f>SUM(K408:K409)</f>
        <v>2.72</v>
      </c>
      <c r="L410" s="28">
        <f>SUM(L408:L409)</f>
        <v>16.549999999999997</v>
      </c>
      <c r="M410" s="48">
        <f>SUM(M408:M409)</f>
        <v>7.31</v>
      </c>
      <c r="N410" s="27"/>
      <c r="O410" s="138">
        <f>SUM(O408+O409)</f>
        <v>40549</v>
      </c>
      <c r="P410" s="28">
        <f>SUM(P408:P409)</f>
        <v>4.257644999999999</v>
      </c>
      <c r="Q410" s="28">
        <f>SUM(Q408:Q409)</f>
        <v>3.406116</v>
      </c>
      <c r="R410" s="28">
        <f>SUM(R408:R409)</f>
        <v>0.6017999999999999</v>
      </c>
      <c r="S410" s="28">
        <f>SUM(S408:S409)</f>
        <v>0</v>
      </c>
      <c r="T410" s="33">
        <f>SUM(T399:T406)</f>
        <v>20.205845</v>
      </c>
      <c r="U410" s="134">
        <f>SUM(U399:U406)</f>
        <v>12.834315999999998</v>
      </c>
      <c r="V410" s="27"/>
      <c r="W410" s="27"/>
      <c r="X410" s="33">
        <f>SUM(X399:X406)</f>
        <v>12.834315999999998</v>
      </c>
      <c r="Y410" s="135">
        <f>SUM(X410/U410)</f>
        <v>1</v>
      </c>
      <c r="Z410" s="28">
        <f aca="true" t="shared" si="209" ref="Z410:AE410">SUM(Z408:Z409)</f>
        <v>3.7800000000000002</v>
      </c>
      <c r="AA410" s="28">
        <f t="shared" si="209"/>
        <v>6.500000000000001</v>
      </c>
      <c r="AB410" s="28">
        <f t="shared" si="209"/>
        <v>12.834315999999998</v>
      </c>
      <c r="AC410" s="136">
        <f t="shared" si="209"/>
        <v>8.984021199999999</v>
      </c>
      <c r="AD410" s="118">
        <f t="shared" si="209"/>
        <v>6.2640212</v>
      </c>
      <c r="AE410" s="60">
        <f t="shared" si="209"/>
        <v>4.38481484</v>
      </c>
      <c r="AF410" s="29"/>
    </row>
    <row r="411" spans="1:32" ht="12.75">
      <c r="A411" s="77" t="s">
        <v>172</v>
      </c>
      <c r="B411" s="77"/>
      <c r="C411" s="76"/>
      <c r="D411" s="75"/>
      <c r="E411" s="75"/>
      <c r="F411" s="76"/>
      <c r="G411" s="76"/>
      <c r="H411" s="76"/>
      <c r="I411" s="76"/>
      <c r="J411" s="75"/>
      <c r="K411" s="76"/>
      <c r="L411" s="75"/>
      <c r="M411" s="76"/>
      <c r="N411" s="76"/>
      <c r="O411" s="73">
        <v>40730</v>
      </c>
      <c r="P411" s="75"/>
      <c r="Q411" s="75"/>
      <c r="R411" s="75"/>
      <c r="S411" s="75"/>
      <c r="T411" s="75"/>
      <c r="U411" s="75"/>
      <c r="V411" s="75"/>
      <c r="W411" s="75"/>
      <c r="X411" s="75"/>
      <c r="Y411" s="75"/>
      <c r="Z411" s="75"/>
      <c r="AA411" s="75"/>
      <c r="AB411" s="75"/>
      <c r="AC411" s="75"/>
      <c r="AD411" s="75"/>
      <c r="AE411" s="75"/>
      <c r="AF411" s="5" t="s">
        <v>265</v>
      </c>
    </row>
    <row r="412" spans="1:32" ht="12.75">
      <c r="A412" s="77" t="s">
        <v>173</v>
      </c>
      <c r="B412" s="77"/>
      <c r="C412" s="76"/>
      <c r="D412" s="75"/>
      <c r="E412" s="75"/>
      <c r="F412" s="76"/>
      <c r="G412" s="76"/>
      <c r="H412" s="76"/>
      <c r="I412" s="76"/>
      <c r="J412" s="75"/>
      <c r="K412" s="76"/>
      <c r="L412" s="75"/>
      <c r="M412" s="76"/>
      <c r="N412" s="76"/>
      <c r="O412" s="74">
        <f>SUM(O410/O411)</f>
        <v>0.9955561011539406</v>
      </c>
      <c r="P412" s="75"/>
      <c r="Q412" s="75"/>
      <c r="R412" s="75"/>
      <c r="S412" s="75"/>
      <c r="T412" s="75"/>
      <c r="U412" s="75"/>
      <c r="V412" s="75"/>
      <c r="W412" s="75"/>
      <c r="X412" s="75"/>
      <c r="Y412" s="75"/>
      <c r="Z412" s="75"/>
      <c r="AA412" s="75"/>
      <c r="AB412" s="75"/>
      <c r="AC412" s="75"/>
      <c r="AD412" s="75"/>
      <c r="AE412" s="75"/>
      <c r="AF412" s="5"/>
    </row>
    <row r="413" spans="1:32" ht="12.75">
      <c r="A413" s="16"/>
      <c r="B413" s="16"/>
      <c r="C413" s="17"/>
      <c r="D413" s="18"/>
      <c r="E413" s="46"/>
      <c r="F413" s="17"/>
      <c r="G413" s="17"/>
      <c r="H413" s="17"/>
      <c r="I413" s="17"/>
      <c r="J413" s="18"/>
      <c r="K413" s="37"/>
      <c r="L413" s="18"/>
      <c r="M413" s="47"/>
      <c r="N413" s="17"/>
      <c r="O413" s="70"/>
      <c r="P413" s="18"/>
      <c r="Q413" s="18"/>
      <c r="R413" s="17"/>
      <c r="S413" s="17"/>
      <c r="T413" s="38"/>
      <c r="U413" s="19"/>
      <c r="V413" s="50"/>
      <c r="W413" s="50"/>
      <c r="X413" s="50"/>
      <c r="Y413" s="50"/>
      <c r="Z413" s="18"/>
      <c r="AA413" s="18"/>
      <c r="AB413" s="18"/>
      <c r="AC413" s="37"/>
      <c r="AD413" s="62"/>
      <c r="AE413" s="58"/>
      <c r="AF413" s="17"/>
    </row>
    <row r="414" spans="1:32" ht="12.75">
      <c r="A414" s="16"/>
      <c r="B414" s="16"/>
      <c r="C414" s="17"/>
      <c r="D414" s="18"/>
      <c r="E414" s="46"/>
      <c r="F414" s="17"/>
      <c r="G414" s="17"/>
      <c r="H414" s="17"/>
      <c r="I414" s="17"/>
      <c r="J414" s="18"/>
      <c r="K414" s="37"/>
      <c r="L414" s="18"/>
      <c r="M414" s="47"/>
      <c r="N414" s="17"/>
      <c r="O414" s="70"/>
      <c r="P414" s="18"/>
      <c r="Q414" s="18"/>
      <c r="R414" s="17"/>
      <c r="S414" s="17"/>
      <c r="T414" s="38"/>
      <c r="U414" s="19"/>
      <c r="V414" s="50"/>
      <c r="W414" s="50"/>
      <c r="X414" s="50"/>
      <c r="Y414" s="50"/>
      <c r="Z414" s="18"/>
      <c r="AA414" s="18"/>
      <c r="AB414" s="18"/>
      <c r="AC414" s="37"/>
      <c r="AD414" s="62"/>
      <c r="AE414" s="58"/>
      <c r="AF414" s="17"/>
    </row>
    <row r="415" spans="1:32" ht="15" customHeight="1">
      <c r="A415" s="206"/>
      <c r="B415" s="64"/>
      <c r="C415" s="10"/>
      <c r="D415" s="198" t="s">
        <v>285</v>
      </c>
      <c r="E415" s="198"/>
      <c r="F415" s="199" t="s">
        <v>286</v>
      </c>
      <c r="G415" s="199"/>
      <c r="H415" s="113" t="s">
        <v>131</v>
      </c>
      <c r="I415" s="109">
        <v>2010</v>
      </c>
      <c r="J415" s="208" t="s">
        <v>287</v>
      </c>
      <c r="K415" s="208"/>
      <c r="L415" s="209" t="s">
        <v>288</v>
      </c>
      <c r="M415" s="209"/>
      <c r="N415" s="10">
        <v>2010</v>
      </c>
      <c r="O415" s="68" t="s">
        <v>289</v>
      </c>
      <c r="P415" s="199" t="s">
        <v>290</v>
      </c>
      <c r="Q415" s="199"/>
      <c r="R415" s="199" t="s">
        <v>291</v>
      </c>
      <c r="S415" s="199"/>
      <c r="T415" s="198" t="s">
        <v>292</v>
      </c>
      <c r="U415" s="198"/>
      <c r="V415" s="199" t="s">
        <v>293</v>
      </c>
      <c r="W415" s="199"/>
      <c r="X415" s="114" t="s">
        <v>298</v>
      </c>
      <c r="Y415" s="114" t="s">
        <v>299</v>
      </c>
      <c r="Z415" s="200" t="s">
        <v>294</v>
      </c>
      <c r="AA415" s="40">
        <v>2020</v>
      </c>
      <c r="AB415" s="207" t="s">
        <v>295</v>
      </c>
      <c r="AC415" s="208"/>
      <c r="AD415" s="61" t="s">
        <v>296</v>
      </c>
      <c r="AE415" s="57" t="s">
        <v>296</v>
      </c>
      <c r="AF415" s="10"/>
    </row>
    <row r="416" spans="1:32" ht="12.75">
      <c r="A416" s="206"/>
      <c r="B416" s="66" t="s">
        <v>153</v>
      </c>
      <c r="C416" s="10" t="s">
        <v>0</v>
      </c>
      <c r="D416" s="198"/>
      <c r="E416" s="198"/>
      <c r="F416" s="199"/>
      <c r="G416" s="199"/>
      <c r="H416" s="113"/>
      <c r="I416" s="109" t="s">
        <v>131</v>
      </c>
      <c r="J416" s="208"/>
      <c r="K416" s="208"/>
      <c r="L416" s="209"/>
      <c r="M416" s="209"/>
      <c r="N416" s="10" t="s">
        <v>2</v>
      </c>
      <c r="O416" s="68" t="s">
        <v>161</v>
      </c>
      <c r="P416" s="199"/>
      <c r="Q416" s="199"/>
      <c r="R416" s="199"/>
      <c r="S416" s="199"/>
      <c r="T416" s="198"/>
      <c r="U416" s="198"/>
      <c r="V416" s="199"/>
      <c r="W416" s="199"/>
      <c r="X416" s="114" t="s">
        <v>131</v>
      </c>
      <c r="Y416" s="114"/>
      <c r="Z416" s="201"/>
      <c r="AA416" s="41" t="s">
        <v>145</v>
      </c>
      <c r="AB416" s="207"/>
      <c r="AC416" s="208"/>
      <c r="AD416" s="61" t="s">
        <v>145</v>
      </c>
      <c r="AE416" s="57" t="s">
        <v>297</v>
      </c>
      <c r="AF416" s="10" t="s">
        <v>3</v>
      </c>
    </row>
    <row r="417" spans="1:32" ht="14.25">
      <c r="A417" s="206"/>
      <c r="B417" s="66" t="s">
        <v>151</v>
      </c>
      <c r="C417" s="10" t="s">
        <v>1</v>
      </c>
      <c r="D417" s="198"/>
      <c r="E417" s="198"/>
      <c r="F417" s="199"/>
      <c r="G417" s="199"/>
      <c r="H417" s="113"/>
      <c r="I417" s="109"/>
      <c r="J417" s="208"/>
      <c r="K417" s="208"/>
      <c r="L417" s="209"/>
      <c r="M417" s="209"/>
      <c r="N417" s="10" t="s">
        <v>97</v>
      </c>
      <c r="O417" s="68" t="s">
        <v>270</v>
      </c>
      <c r="P417" s="199"/>
      <c r="Q417" s="199"/>
      <c r="R417" s="199"/>
      <c r="S417" s="199"/>
      <c r="T417" s="198"/>
      <c r="U417" s="198"/>
      <c r="V417" s="199"/>
      <c r="W417" s="199"/>
      <c r="X417" s="109"/>
      <c r="Y417" s="109"/>
      <c r="Z417" s="202"/>
      <c r="AA417" s="39" t="s">
        <v>143</v>
      </c>
      <c r="AB417" s="208"/>
      <c r="AC417" s="208"/>
      <c r="AD417" s="61"/>
      <c r="AE417" s="57"/>
      <c r="AF417" s="125"/>
    </row>
    <row r="418" spans="1:32" ht="51.75" customHeight="1">
      <c r="A418" s="78" t="s">
        <v>202</v>
      </c>
      <c r="B418" s="10" t="s">
        <v>154</v>
      </c>
      <c r="C418" s="10" t="s">
        <v>302</v>
      </c>
      <c r="D418" s="10" t="s">
        <v>5</v>
      </c>
      <c r="E418" s="11" t="s">
        <v>7</v>
      </c>
      <c r="F418" s="10" t="s">
        <v>95</v>
      </c>
      <c r="G418" s="10" t="s">
        <v>96</v>
      </c>
      <c r="H418" s="113" t="s">
        <v>7</v>
      </c>
      <c r="I418" s="109"/>
      <c r="J418" s="10" t="s">
        <v>5</v>
      </c>
      <c r="K418" s="12" t="s">
        <v>277</v>
      </c>
      <c r="L418" s="10" t="s">
        <v>5</v>
      </c>
      <c r="M418" s="42" t="s">
        <v>7</v>
      </c>
      <c r="N418" s="10"/>
      <c r="O418" s="68"/>
      <c r="P418" s="10" t="s">
        <v>5</v>
      </c>
      <c r="Q418" s="10" t="s">
        <v>7</v>
      </c>
      <c r="R418" s="10" t="s">
        <v>272</v>
      </c>
      <c r="S418" s="10" t="s">
        <v>273</v>
      </c>
      <c r="T418" s="10" t="s">
        <v>5</v>
      </c>
      <c r="U418" s="11" t="s">
        <v>7</v>
      </c>
      <c r="V418" s="10" t="s">
        <v>95</v>
      </c>
      <c r="W418" s="10" t="s">
        <v>96</v>
      </c>
      <c r="X418" s="109"/>
      <c r="Y418" s="109"/>
      <c r="Z418" s="10"/>
      <c r="AA418" s="10"/>
      <c r="AB418" s="10" t="s">
        <v>5</v>
      </c>
      <c r="AC418" s="12" t="s">
        <v>334</v>
      </c>
      <c r="AD418" s="61" t="s">
        <v>335</v>
      </c>
      <c r="AE418" s="57" t="s">
        <v>336</v>
      </c>
      <c r="AF418" s="125"/>
    </row>
    <row r="419" spans="1:32" ht="12.75">
      <c r="A419" s="10"/>
      <c r="B419" s="10"/>
      <c r="C419" s="125"/>
      <c r="D419" s="10" t="s">
        <v>6</v>
      </c>
      <c r="E419" s="11" t="s">
        <v>6</v>
      </c>
      <c r="F419" s="10"/>
      <c r="G419" s="10"/>
      <c r="H419" s="113" t="s">
        <v>6</v>
      </c>
      <c r="I419" s="109" t="s">
        <v>300</v>
      </c>
      <c r="J419" s="10" t="s">
        <v>6</v>
      </c>
      <c r="K419" s="12" t="s">
        <v>6</v>
      </c>
      <c r="L419" s="10" t="s">
        <v>6</v>
      </c>
      <c r="M419" s="42" t="s">
        <v>6</v>
      </c>
      <c r="N419" s="125"/>
      <c r="O419" s="126"/>
      <c r="P419" s="10" t="s">
        <v>6</v>
      </c>
      <c r="Q419" s="10" t="s">
        <v>6</v>
      </c>
      <c r="R419" s="10" t="s">
        <v>6</v>
      </c>
      <c r="S419" s="10" t="s">
        <v>6</v>
      </c>
      <c r="T419" s="10" t="s">
        <v>6</v>
      </c>
      <c r="U419" s="11" t="s">
        <v>6</v>
      </c>
      <c r="V419" s="10"/>
      <c r="W419" s="10"/>
      <c r="X419" s="109" t="s">
        <v>6</v>
      </c>
      <c r="Y419" s="109" t="s">
        <v>300</v>
      </c>
      <c r="Z419" s="10" t="s">
        <v>6</v>
      </c>
      <c r="AA419" s="10" t="s">
        <v>6</v>
      </c>
      <c r="AB419" s="10" t="s">
        <v>6</v>
      </c>
      <c r="AC419" s="12" t="s">
        <v>6</v>
      </c>
      <c r="AD419" s="61" t="s">
        <v>6</v>
      </c>
      <c r="AE419" s="57" t="s">
        <v>6</v>
      </c>
      <c r="AF419" s="125"/>
    </row>
    <row r="420" spans="1:32" ht="12.75">
      <c r="A420" s="10" t="s">
        <v>4</v>
      </c>
      <c r="B420" s="10"/>
      <c r="C420" s="125"/>
      <c r="D420" s="125"/>
      <c r="E420" s="127"/>
      <c r="F420" s="125"/>
      <c r="G420" s="125"/>
      <c r="H420" s="125"/>
      <c r="I420" s="125"/>
      <c r="J420" s="125"/>
      <c r="K420" s="128"/>
      <c r="L420" s="125"/>
      <c r="M420" s="129"/>
      <c r="N420" s="125"/>
      <c r="O420" s="126"/>
      <c r="P420" s="125"/>
      <c r="Q420" s="125"/>
      <c r="R420" s="125"/>
      <c r="S420" s="125"/>
      <c r="T420" s="125"/>
      <c r="U420" s="13"/>
      <c r="V420" s="44"/>
      <c r="W420" s="44"/>
      <c r="X420" s="44"/>
      <c r="Y420" s="44"/>
      <c r="Z420" s="125"/>
      <c r="AA420" s="125"/>
      <c r="AB420" s="125"/>
      <c r="AC420" s="128"/>
      <c r="AD420" s="121"/>
      <c r="AE420" s="130"/>
      <c r="AF420" s="125"/>
    </row>
    <row r="421" spans="1:32" ht="15">
      <c r="A421" s="54" t="s">
        <v>16</v>
      </c>
      <c r="B421" s="5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row>
    <row r="422" spans="1:32" ht="25.5">
      <c r="A422" s="16" t="s">
        <v>17</v>
      </c>
      <c r="B422" s="16" t="s">
        <v>155</v>
      </c>
      <c r="C422" s="17" t="s">
        <v>139</v>
      </c>
      <c r="D422" s="18">
        <v>2</v>
      </c>
      <c r="E422" s="46">
        <v>1.05</v>
      </c>
      <c r="F422" s="17" t="s">
        <v>131</v>
      </c>
      <c r="G422" s="17" t="s">
        <v>127</v>
      </c>
      <c r="H422" s="18">
        <v>1.05</v>
      </c>
      <c r="I422" s="17"/>
      <c r="J422" s="18">
        <v>1.69</v>
      </c>
      <c r="K422" s="37">
        <v>0.73</v>
      </c>
      <c r="L422" s="18">
        <f>SUM(D422)</f>
        <v>2</v>
      </c>
      <c r="M422" s="47">
        <f>SUM(E422-K422)</f>
        <v>0.32000000000000006</v>
      </c>
      <c r="N422" s="17" t="s">
        <v>120</v>
      </c>
      <c r="O422" s="70">
        <v>431</v>
      </c>
      <c r="P422" s="18">
        <f>SUM(O422*84)*(1.25)/1000000</f>
        <v>0.045255</v>
      </c>
      <c r="Q422" s="18">
        <f>SUM(O422*84)/1000000</f>
        <v>0.036204</v>
      </c>
      <c r="R422" s="18">
        <f>SUM(E422*0.06)</f>
        <v>0.063</v>
      </c>
      <c r="S422" s="17"/>
      <c r="T422" s="18">
        <f>SUM(D422+P422)-(R422+S422)</f>
        <v>1.982255</v>
      </c>
      <c r="U422" s="46">
        <f>SUM(E422+Q422)-(R422+S422)</f>
        <v>1.023204</v>
      </c>
      <c r="V422" s="50" t="s">
        <v>131</v>
      </c>
      <c r="W422" s="50" t="s">
        <v>144</v>
      </c>
      <c r="X422" s="50">
        <f>SUM(U422)</f>
        <v>1.023204</v>
      </c>
      <c r="Y422" s="50"/>
      <c r="Z422" s="18"/>
      <c r="AA422" s="18">
        <f>K422+Z422</f>
        <v>0.73</v>
      </c>
      <c r="AB422" s="18">
        <f>SUM(U422)</f>
        <v>1.023204</v>
      </c>
      <c r="AC422" s="37">
        <f>SUM(U422*0.8)</f>
        <v>0.8185632</v>
      </c>
      <c r="AD422" s="62">
        <f>SUM(AC422-K422)</f>
        <v>0.08856320000000006</v>
      </c>
      <c r="AE422" s="58">
        <f>SUM(AD422*0.7)</f>
        <v>0.06199424000000004</v>
      </c>
      <c r="AF422" s="17" t="s">
        <v>266</v>
      </c>
    </row>
    <row r="423" spans="1:32" ht="12.75">
      <c r="A423" s="16" t="s">
        <v>18</v>
      </c>
      <c r="B423" s="16" t="s">
        <v>155</v>
      </c>
      <c r="C423" s="17" t="s">
        <v>139</v>
      </c>
      <c r="D423" s="18">
        <v>0.5</v>
      </c>
      <c r="E423" s="46">
        <v>0.31</v>
      </c>
      <c r="F423" s="17" t="s">
        <v>169</v>
      </c>
      <c r="G423" s="17" t="s">
        <v>129</v>
      </c>
      <c r="H423" s="18">
        <v>0</v>
      </c>
      <c r="I423" s="17"/>
      <c r="J423" s="18">
        <v>0</v>
      </c>
      <c r="K423" s="37">
        <v>0</v>
      </c>
      <c r="L423" s="18">
        <f>SUM(D423)</f>
        <v>0.5</v>
      </c>
      <c r="M423" s="47">
        <f>SUM(E423-K423)</f>
        <v>0.31</v>
      </c>
      <c r="N423" s="17"/>
      <c r="O423" s="70"/>
      <c r="P423" s="18">
        <f>SUM(O423*84)*(1.25)/1000000</f>
        <v>0</v>
      </c>
      <c r="Q423" s="18">
        <f>SUM(O423*84)/1000000</f>
        <v>0</v>
      </c>
      <c r="R423" s="18">
        <f>SUM(E423*0.06)</f>
        <v>0.0186</v>
      </c>
      <c r="S423" s="17"/>
      <c r="T423" s="18">
        <f>SUM(D423+P423)-(R423+S423)</f>
        <v>0.4814</v>
      </c>
      <c r="U423" s="46">
        <f>SUM(E423+Q423)-(R423+S423)</f>
        <v>0.2914</v>
      </c>
      <c r="V423" s="50" t="s">
        <v>128</v>
      </c>
      <c r="W423" s="50" t="s">
        <v>144</v>
      </c>
      <c r="X423" s="50"/>
      <c r="Y423" s="50"/>
      <c r="Z423" s="18"/>
      <c r="AA423" s="18">
        <f>K423+Z423</f>
        <v>0</v>
      </c>
      <c r="AB423" s="18">
        <f>SUM(U423)</f>
        <v>0.2914</v>
      </c>
      <c r="AC423" s="37">
        <f>SUM(U423*0.7)</f>
        <v>0.20398</v>
      </c>
      <c r="AD423" s="62">
        <f>SUM(AC423-K423)</f>
        <v>0.20398</v>
      </c>
      <c r="AE423" s="58">
        <f>SUM(AD423*0.7)</f>
        <v>0.142786</v>
      </c>
      <c r="AF423" s="17" t="s">
        <v>105</v>
      </c>
    </row>
    <row r="424" spans="1:32" ht="12.75">
      <c r="A424" s="16" t="s">
        <v>170</v>
      </c>
      <c r="B424" s="16" t="s">
        <v>155</v>
      </c>
      <c r="C424" s="17" t="s">
        <v>139</v>
      </c>
      <c r="D424" s="18">
        <v>0.09</v>
      </c>
      <c r="E424" s="46">
        <v>0.06</v>
      </c>
      <c r="F424" s="17" t="s">
        <v>169</v>
      </c>
      <c r="G424" s="17" t="s">
        <v>129</v>
      </c>
      <c r="H424" s="18">
        <v>0</v>
      </c>
      <c r="I424" s="17"/>
      <c r="J424" s="18">
        <v>0</v>
      </c>
      <c r="K424" s="37">
        <v>0</v>
      </c>
      <c r="L424" s="18">
        <f>SUM(D424)</f>
        <v>0.09</v>
      </c>
      <c r="M424" s="47">
        <f>SUM(E424-K424)</f>
        <v>0.06</v>
      </c>
      <c r="N424" s="17"/>
      <c r="O424" s="70">
        <v>44</v>
      </c>
      <c r="P424" s="18">
        <f>SUM(O424*84)*(1.25)/1000000</f>
        <v>0.00462</v>
      </c>
      <c r="Q424" s="18">
        <f>SUM(O424*84)/1000000</f>
        <v>0.003696</v>
      </c>
      <c r="R424" s="18">
        <f>SUM(E424*0.06)</f>
        <v>0.0036</v>
      </c>
      <c r="S424" s="17"/>
      <c r="T424" s="18">
        <f>SUM(D424+P424)-(R424+S424)</f>
        <v>0.09101999999999999</v>
      </c>
      <c r="U424" s="46">
        <f>SUM(E424+Q424)-(R424+S424)</f>
        <v>0.060096000000000004</v>
      </c>
      <c r="V424" s="50" t="s">
        <v>128</v>
      </c>
      <c r="W424" s="50" t="s">
        <v>144</v>
      </c>
      <c r="X424" s="50"/>
      <c r="Y424" s="50"/>
      <c r="Z424" s="18"/>
      <c r="AA424" s="18">
        <f>K424+Z424</f>
        <v>0</v>
      </c>
      <c r="AB424" s="18">
        <f>SUM(U424)</f>
        <v>0.060096000000000004</v>
      </c>
      <c r="AC424" s="37">
        <f>SUM(U424*0.7)</f>
        <v>0.0420672</v>
      </c>
      <c r="AD424" s="62">
        <f>SUM(AC424-K424)</f>
        <v>0.0420672</v>
      </c>
      <c r="AE424" s="58">
        <f>SUM(AD424*0.7)</f>
        <v>0.029447039999999997</v>
      </c>
      <c r="AF424" s="17" t="s">
        <v>105</v>
      </c>
    </row>
    <row r="425" spans="1:32" ht="12.75">
      <c r="A425" s="115" t="s">
        <v>301</v>
      </c>
      <c r="B425" s="16" t="s">
        <v>155</v>
      </c>
      <c r="C425" s="17" t="s">
        <v>139</v>
      </c>
      <c r="D425" s="18">
        <v>0.75</v>
      </c>
      <c r="E425" s="46">
        <v>0.15</v>
      </c>
      <c r="F425" s="17" t="s">
        <v>169</v>
      </c>
      <c r="G425" s="17" t="s">
        <v>129</v>
      </c>
      <c r="H425" s="18">
        <v>0</v>
      </c>
      <c r="I425" s="17"/>
      <c r="J425" s="18">
        <v>0</v>
      </c>
      <c r="K425" s="37">
        <v>0</v>
      </c>
      <c r="L425" s="18">
        <f>SUM(D425)</f>
        <v>0.75</v>
      </c>
      <c r="M425" s="47">
        <f>SUM(E425-K425)</f>
        <v>0.15</v>
      </c>
      <c r="N425" s="17"/>
      <c r="O425" s="70">
        <v>201</v>
      </c>
      <c r="P425" s="18">
        <f>SUM(O425*84)*(1.25)/1000000</f>
        <v>0.021105</v>
      </c>
      <c r="Q425" s="18">
        <f>SUM(O425*84)/1000000</f>
        <v>0.016884</v>
      </c>
      <c r="R425" s="18">
        <f>SUM(E425*0.06)</f>
        <v>0.009</v>
      </c>
      <c r="S425" s="17"/>
      <c r="T425" s="18">
        <f>SUM(D425+P425)-(R425+S425)</f>
        <v>0.762105</v>
      </c>
      <c r="U425" s="46">
        <f>SUM(E425+Q425)-(R425+S425)</f>
        <v>0.157884</v>
      </c>
      <c r="V425" s="50" t="s">
        <v>128</v>
      </c>
      <c r="W425" s="50" t="s">
        <v>144</v>
      </c>
      <c r="X425" s="50"/>
      <c r="Y425" s="50"/>
      <c r="Z425" s="18"/>
      <c r="AA425" s="18">
        <f>K425+Z425</f>
        <v>0</v>
      </c>
      <c r="AB425" s="18">
        <f>SUM(U425)</f>
        <v>0.157884</v>
      </c>
      <c r="AC425" s="37">
        <f>SUM(U425*0.7)</f>
        <v>0.11051879999999999</v>
      </c>
      <c r="AD425" s="62">
        <f>SUM(AC425-K425)</f>
        <v>0.11051879999999999</v>
      </c>
      <c r="AE425" s="58">
        <f>SUM(AD425*0.7)</f>
        <v>0.07736315999999999</v>
      </c>
      <c r="AF425" s="17" t="s">
        <v>105</v>
      </c>
    </row>
    <row r="426" spans="1:32" ht="15.75" thickBot="1">
      <c r="A426" s="14" t="s">
        <v>19</v>
      </c>
      <c r="B426" s="14"/>
      <c r="C426" s="15"/>
      <c r="D426" s="51"/>
      <c r="E426" s="51"/>
      <c r="F426" s="15"/>
      <c r="G426" s="15"/>
      <c r="H426" s="51"/>
      <c r="I426" s="15"/>
      <c r="J426" s="51"/>
      <c r="K426" s="51"/>
      <c r="L426" s="51"/>
      <c r="M426" s="52"/>
      <c r="N426" s="15"/>
      <c r="O426" s="15"/>
      <c r="P426" s="15"/>
      <c r="Q426" s="15"/>
      <c r="R426" s="15"/>
      <c r="S426" s="15"/>
      <c r="T426" s="15"/>
      <c r="U426" s="15"/>
      <c r="V426" s="15"/>
      <c r="W426" s="15"/>
      <c r="X426" s="15"/>
      <c r="Y426" s="15"/>
      <c r="Z426" s="15"/>
      <c r="AA426" s="52"/>
      <c r="AB426" s="15"/>
      <c r="AC426" s="15"/>
      <c r="AD426" s="15"/>
      <c r="AE426" s="15"/>
      <c r="AF426" s="15"/>
    </row>
    <row r="427" spans="1:32" ht="15.75" thickBot="1">
      <c r="A427" s="16" t="s">
        <v>13</v>
      </c>
      <c r="B427" s="16"/>
      <c r="C427" s="17">
        <v>4</v>
      </c>
      <c r="D427" s="18">
        <f>SUM(D422:D425)</f>
        <v>3.34</v>
      </c>
      <c r="E427" s="46">
        <f>SUM(E422:E425)</f>
        <v>1.57</v>
      </c>
      <c r="F427" s="17"/>
      <c r="G427" s="17"/>
      <c r="H427" s="18">
        <f>SUM(H422:H425)</f>
        <v>1.05</v>
      </c>
      <c r="I427" s="17"/>
      <c r="J427" s="18">
        <f>SUM(J422:J425)</f>
        <v>1.69</v>
      </c>
      <c r="K427" s="37">
        <f>SUM(K422:K425)</f>
        <v>0.73</v>
      </c>
      <c r="L427" s="18">
        <f>SUM(L422:L425)</f>
        <v>3.34</v>
      </c>
      <c r="M427" s="47">
        <f>SUM(E422:K425)</f>
        <v>5.039999999999999</v>
      </c>
      <c r="N427" s="17"/>
      <c r="O427" s="70">
        <f aca="true" t="shared" si="210" ref="O427:U427">SUM(O422:O425)</f>
        <v>676</v>
      </c>
      <c r="P427" s="71">
        <f t="shared" si="210"/>
        <v>0.07097999999999999</v>
      </c>
      <c r="Q427" s="71">
        <f t="shared" si="210"/>
        <v>0.056784</v>
      </c>
      <c r="R427" s="71">
        <f t="shared" si="210"/>
        <v>0.0942</v>
      </c>
      <c r="S427" s="71">
        <f t="shared" si="210"/>
        <v>0</v>
      </c>
      <c r="T427" s="71">
        <f t="shared" si="210"/>
        <v>3.31678</v>
      </c>
      <c r="U427" s="46">
        <f t="shared" si="210"/>
        <v>1.532584</v>
      </c>
      <c r="V427" s="43"/>
      <c r="W427" s="43"/>
      <c r="X427" s="33">
        <f>SUM(X422:X425)</f>
        <v>1.023204</v>
      </c>
      <c r="Y427" s="43"/>
      <c r="Z427" s="18">
        <f aca="true" t="shared" si="211" ref="Z427:AE427">SUM(Z422:Z425)</f>
        <v>0</v>
      </c>
      <c r="AA427" s="18">
        <f t="shared" si="211"/>
        <v>0.73</v>
      </c>
      <c r="AB427" s="18">
        <f t="shared" si="211"/>
        <v>1.532584</v>
      </c>
      <c r="AC427" s="37">
        <f t="shared" si="211"/>
        <v>1.1751292</v>
      </c>
      <c r="AD427" s="62">
        <f t="shared" si="211"/>
        <v>0.44512920000000006</v>
      </c>
      <c r="AE427" s="58">
        <f t="shared" si="211"/>
        <v>0.31159044</v>
      </c>
      <c r="AF427" s="20"/>
    </row>
    <row r="428" spans="1:32" ht="15.75" thickBot="1">
      <c r="A428" s="22" t="s">
        <v>14</v>
      </c>
      <c r="B428" s="22"/>
      <c r="C428" s="23">
        <v>0</v>
      </c>
      <c r="D428" s="24">
        <v>0</v>
      </c>
      <c r="E428" s="132">
        <v>0</v>
      </c>
      <c r="F428" s="23"/>
      <c r="G428" s="23"/>
      <c r="H428" s="24">
        <v>0</v>
      </c>
      <c r="I428" s="23"/>
      <c r="J428" s="24">
        <v>0</v>
      </c>
      <c r="K428" s="133">
        <v>0</v>
      </c>
      <c r="L428" s="24">
        <v>0</v>
      </c>
      <c r="M428" s="47">
        <f>SUM(E428-K428)</f>
        <v>0</v>
      </c>
      <c r="N428" s="23"/>
      <c r="O428" s="171">
        <v>0</v>
      </c>
      <c r="P428" s="23">
        <v>0</v>
      </c>
      <c r="Q428" s="23">
        <v>0</v>
      </c>
      <c r="R428" s="24">
        <v>0</v>
      </c>
      <c r="S428" s="24">
        <v>0</v>
      </c>
      <c r="T428" s="24">
        <v>0</v>
      </c>
      <c r="U428" s="132">
        <v>0</v>
      </c>
      <c r="V428" s="45"/>
      <c r="W428" s="45"/>
      <c r="X428" s="33">
        <v>0</v>
      </c>
      <c r="Y428" s="45"/>
      <c r="Z428" s="24">
        <v>0</v>
      </c>
      <c r="AA428" s="18">
        <v>0</v>
      </c>
      <c r="AB428" s="24">
        <v>0</v>
      </c>
      <c r="AC428" s="133">
        <v>0</v>
      </c>
      <c r="AD428" s="117">
        <v>0</v>
      </c>
      <c r="AE428" s="59">
        <v>0</v>
      </c>
      <c r="AF428" s="25"/>
    </row>
    <row r="429" spans="1:32" ht="15.75" thickBot="1">
      <c r="A429" s="26" t="s">
        <v>15</v>
      </c>
      <c r="B429" s="65"/>
      <c r="C429" s="27">
        <f>SUM(C427:C428)</f>
        <v>4</v>
      </c>
      <c r="D429" s="27">
        <f>SUM(D427:D428)</f>
        <v>3.34</v>
      </c>
      <c r="E429" s="134">
        <f>SUM(E427:E428)</f>
        <v>1.57</v>
      </c>
      <c r="F429" s="27"/>
      <c r="G429" s="27"/>
      <c r="H429" s="27">
        <f>SUM(H427:H428)</f>
        <v>1.05</v>
      </c>
      <c r="I429" s="135">
        <f>(H429/E429)</f>
        <v>0.6687898089171974</v>
      </c>
      <c r="J429" s="27">
        <f>SUM(J427:J428)</f>
        <v>1.69</v>
      </c>
      <c r="K429" s="136">
        <f>SUM(K427:K428)</f>
        <v>0.73</v>
      </c>
      <c r="L429" s="28">
        <f>SUM(L427:L428)</f>
        <v>3.34</v>
      </c>
      <c r="M429" s="48">
        <f>SUM(M427:M428)</f>
        <v>5.039999999999999</v>
      </c>
      <c r="N429" s="27"/>
      <c r="O429" s="138">
        <f aca="true" t="shared" si="212" ref="O429:T429">SUM(O427+O428)</f>
        <v>676</v>
      </c>
      <c r="P429" s="174">
        <f t="shared" si="212"/>
        <v>0.07097999999999999</v>
      </c>
      <c r="Q429" s="174">
        <f t="shared" si="212"/>
        <v>0.056784</v>
      </c>
      <c r="R429" s="174">
        <f t="shared" si="212"/>
        <v>0.0942</v>
      </c>
      <c r="S429" s="174">
        <f t="shared" si="212"/>
        <v>0</v>
      </c>
      <c r="T429" s="174">
        <f t="shared" si="212"/>
        <v>3.31678</v>
      </c>
      <c r="U429" s="134">
        <f>SUM(U427:U428)</f>
        <v>1.532584</v>
      </c>
      <c r="V429" s="33"/>
      <c r="W429" s="33"/>
      <c r="X429" s="33">
        <f>SUM(X427:X428)</f>
        <v>1.023204</v>
      </c>
      <c r="Y429" s="135">
        <f>SUM(X429/U429)</f>
        <v>0.6676332259765207</v>
      </c>
      <c r="Z429" s="33">
        <f aca="true" t="shared" si="213" ref="Z429:AE429">SUM(Z427:Z428)</f>
        <v>0</v>
      </c>
      <c r="AA429" s="33">
        <f t="shared" si="213"/>
        <v>0.73</v>
      </c>
      <c r="AB429" s="33">
        <f t="shared" si="213"/>
        <v>1.532584</v>
      </c>
      <c r="AC429" s="136">
        <f t="shared" si="213"/>
        <v>1.1751292</v>
      </c>
      <c r="AD429" s="118">
        <f t="shared" si="213"/>
        <v>0.44512920000000006</v>
      </c>
      <c r="AE429" s="60">
        <f t="shared" si="213"/>
        <v>0.31159044</v>
      </c>
      <c r="AF429" s="31"/>
    </row>
    <row r="430" spans="1:32" ht="14.25">
      <c r="A430" s="77" t="s">
        <v>182</v>
      </c>
      <c r="B430" s="77"/>
      <c r="C430" s="76"/>
      <c r="D430" s="75"/>
      <c r="E430" s="75"/>
      <c r="F430" s="76"/>
      <c r="G430" s="76"/>
      <c r="H430" s="76"/>
      <c r="I430" s="76"/>
      <c r="J430" s="75"/>
      <c r="K430" s="76"/>
      <c r="L430" s="75"/>
      <c r="M430" s="76"/>
      <c r="N430" s="76"/>
      <c r="O430" s="73">
        <v>4146</v>
      </c>
      <c r="P430" s="75"/>
      <c r="Q430" s="75"/>
      <c r="R430" s="75"/>
      <c r="S430" s="75"/>
      <c r="T430" s="75"/>
      <c r="U430" s="75"/>
      <c r="V430" s="75"/>
      <c r="W430" s="75"/>
      <c r="X430" s="75"/>
      <c r="Y430" s="75"/>
      <c r="Z430" s="75"/>
      <c r="AA430" s="75"/>
      <c r="AB430" s="75"/>
      <c r="AC430" s="75"/>
      <c r="AD430" s="75"/>
      <c r="AE430" s="75"/>
      <c r="AF430" s="5" t="s">
        <v>265</v>
      </c>
    </row>
    <row r="431" spans="1:32" ht="12.75">
      <c r="A431" s="77" t="s">
        <v>173</v>
      </c>
      <c r="B431" s="77"/>
      <c r="C431" s="76"/>
      <c r="D431" s="75"/>
      <c r="E431" s="75"/>
      <c r="F431" s="76"/>
      <c r="G431" s="76"/>
      <c r="H431" s="76"/>
      <c r="I431" s="76"/>
      <c r="J431" s="75"/>
      <c r="K431" s="76"/>
      <c r="L431" s="75"/>
      <c r="M431" s="76"/>
      <c r="N431" s="76"/>
      <c r="O431" s="74">
        <f>SUM(O429/O430)</f>
        <v>0.16304872165943077</v>
      </c>
      <c r="P431" s="75"/>
      <c r="Q431" s="75"/>
      <c r="R431" s="75"/>
      <c r="S431" s="75"/>
      <c r="T431" s="75"/>
      <c r="U431" s="75"/>
      <c r="V431" s="75"/>
      <c r="W431" s="75"/>
      <c r="X431" s="75"/>
      <c r="Y431" s="75"/>
      <c r="Z431" s="75"/>
      <c r="AA431" s="75"/>
      <c r="AB431" s="75"/>
      <c r="AC431" s="75"/>
      <c r="AD431" s="75"/>
      <c r="AE431" s="75"/>
      <c r="AF431" s="5"/>
    </row>
    <row r="432" spans="1:32" ht="12.75">
      <c r="A432" s="77"/>
      <c r="B432" s="77"/>
      <c r="C432" s="76"/>
      <c r="D432" s="75"/>
      <c r="E432" s="75"/>
      <c r="F432" s="76"/>
      <c r="G432" s="76"/>
      <c r="H432" s="76"/>
      <c r="I432" s="76"/>
      <c r="J432" s="75"/>
      <c r="K432" s="76"/>
      <c r="L432" s="75"/>
      <c r="M432" s="76"/>
      <c r="N432" s="76"/>
      <c r="O432" s="84"/>
      <c r="P432" s="75"/>
      <c r="Q432" s="75"/>
      <c r="R432" s="75"/>
      <c r="S432" s="75"/>
      <c r="T432" s="75"/>
      <c r="U432" s="75"/>
      <c r="V432" s="75"/>
      <c r="W432" s="75"/>
      <c r="X432" s="75"/>
      <c r="Y432" s="75"/>
      <c r="Z432" s="75"/>
      <c r="AA432" s="75"/>
      <c r="AB432" s="75"/>
      <c r="AC432" s="75"/>
      <c r="AD432" s="75"/>
      <c r="AE432" s="75"/>
      <c r="AF432" s="5"/>
    </row>
    <row r="433" spans="1:32" ht="15" customHeight="1">
      <c r="A433" s="206"/>
      <c r="B433" s="64"/>
      <c r="C433" s="10"/>
      <c r="D433" s="198" t="s">
        <v>285</v>
      </c>
      <c r="E433" s="198"/>
      <c r="F433" s="199" t="s">
        <v>286</v>
      </c>
      <c r="G433" s="199"/>
      <c r="H433" s="113" t="s">
        <v>131</v>
      </c>
      <c r="I433" s="109">
        <v>2010</v>
      </c>
      <c r="J433" s="208" t="s">
        <v>287</v>
      </c>
      <c r="K433" s="208"/>
      <c r="L433" s="209" t="s">
        <v>288</v>
      </c>
      <c r="M433" s="209"/>
      <c r="N433" s="10">
        <v>2010</v>
      </c>
      <c r="O433" s="68" t="s">
        <v>289</v>
      </c>
      <c r="P433" s="199" t="s">
        <v>290</v>
      </c>
      <c r="Q433" s="199"/>
      <c r="R433" s="199" t="s">
        <v>291</v>
      </c>
      <c r="S433" s="199"/>
      <c r="T433" s="198" t="s">
        <v>292</v>
      </c>
      <c r="U433" s="198"/>
      <c r="V433" s="199" t="s">
        <v>293</v>
      </c>
      <c r="W433" s="199"/>
      <c r="X433" s="114" t="s">
        <v>298</v>
      </c>
      <c r="Y433" s="114" t="s">
        <v>299</v>
      </c>
      <c r="Z433" s="200" t="s">
        <v>294</v>
      </c>
      <c r="AA433" s="40">
        <v>2020</v>
      </c>
      <c r="AB433" s="207" t="s">
        <v>295</v>
      </c>
      <c r="AC433" s="208"/>
      <c r="AD433" s="61" t="s">
        <v>296</v>
      </c>
      <c r="AE433" s="57" t="s">
        <v>296</v>
      </c>
      <c r="AF433" s="10"/>
    </row>
    <row r="434" spans="1:32" ht="13.5" customHeight="1">
      <c r="A434" s="206"/>
      <c r="B434" s="66" t="s">
        <v>153</v>
      </c>
      <c r="C434" s="10" t="s">
        <v>0</v>
      </c>
      <c r="D434" s="198"/>
      <c r="E434" s="198"/>
      <c r="F434" s="199"/>
      <c r="G434" s="199"/>
      <c r="H434" s="113"/>
      <c r="I434" s="109" t="s">
        <v>131</v>
      </c>
      <c r="J434" s="208"/>
      <c r="K434" s="208"/>
      <c r="L434" s="209"/>
      <c r="M434" s="209"/>
      <c r="N434" s="10" t="s">
        <v>2</v>
      </c>
      <c r="O434" s="68" t="s">
        <v>161</v>
      </c>
      <c r="P434" s="199"/>
      <c r="Q434" s="199"/>
      <c r="R434" s="199"/>
      <c r="S434" s="199"/>
      <c r="T434" s="198"/>
      <c r="U434" s="198"/>
      <c r="V434" s="199"/>
      <c r="W434" s="199"/>
      <c r="X434" s="114" t="s">
        <v>131</v>
      </c>
      <c r="Y434" s="114"/>
      <c r="Z434" s="201"/>
      <c r="AA434" s="41" t="s">
        <v>145</v>
      </c>
      <c r="AB434" s="207"/>
      <c r="AC434" s="208"/>
      <c r="AD434" s="61" t="s">
        <v>145</v>
      </c>
      <c r="AE434" s="57" t="s">
        <v>297</v>
      </c>
      <c r="AF434" s="10" t="s">
        <v>3</v>
      </c>
    </row>
    <row r="435" spans="1:32" ht="12.75" customHeight="1">
      <c r="A435" s="206"/>
      <c r="B435" s="66" t="s">
        <v>151</v>
      </c>
      <c r="C435" s="10" t="s">
        <v>1</v>
      </c>
      <c r="D435" s="198"/>
      <c r="E435" s="198"/>
      <c r="F435" s="199"/>
      <c r="G435" s="199"/>
      <c r="H435" s="113"/>
      <c r="I435" s="109"/>
      <c r="J435" s="208"/>
      <c r="K435" s="208"/>
      <c r="L435" s="209"/>
      <c r="M435" s="209"/>
      <c r="N435" s="10" t="s">
        <v>97</v>
      </c>
      <c r="O435" s="68" t="s">
        <v>270</v>
      </c>
      <c r="P435" s="199"/>
      <c r="Q435" s="199"/>
      <c r="R435" s="199"/>
      <c r="S435" s="199"/>
      <c r="T435" s="198"/>
      <c r="U435" s="198"/>
      <c r="V435" s="199"/>
      <c r="W435" s="199"/>
      <c r="X435" s="109"/>
      <c r="Y435" s="109"/>
      <c r="Z435" s="202"/>
      <c r="AA435" s="39" t="s">
        <v>143</v>
      </c>
      <c r="AB435" s="208"/>
      <c r="AC435" s="208"/>
      <c r="AD435" s="61"/>
      <c r="AE435" s="57"/>
      <c r="AF435" s="125"/>
    </row>
    <row r="436" spans="1:32" ht="57" customHeight="1">
      <c r="A436" s="78" t="s">
        <v>218</v>
      </c>
      <c r="B436" s="10" t="s">
        <v>154</v>
      </c>
      <c r="C436" s="10" t="s">
        <v>302</v>
      </c>
      <c r="D436" s="10" t="s">
        <v>5</v>
      </c>
      <c r="E436" s="101" t="s">
        <v>7</v>
      </c>
      <c r="F436" s="10"/>
      <c r="G436" s="10"/>
      <c r="H436" s="113" t="s">
        <v>7</v>
      </c>
      <c r="I436" s="109"/>
      <c r="J436" s="10" t="s">
        <v>5</v>
      </c>
      <c r="K436" s="106" t="s">
        <v>277</v>
      </c>
      <c r="L436" s="10" t="s">
        <v>5</v>
      </c>
      <c r="M436" s="102" t="s">
        <v>7</v>
      </c>
      <c r="N436" s="10"/>
      <c r="O436" s="104"/>
      <c r="P436" s="10" t="s">
        <v>5</v>
      </c>
      <c r="Q436" s="10" t="s">
        <v>7</v>
      </c>
      <c r="R436" s="10" t="s">
        <v>272</v>
      </c>
      <c r="S436" s="10" t="s">
        <v>273</v>
      </c>
      <c r="T436" s="10" t="s">
        <v>5</v>
      </c>
      <c r="U436" s="101" t="s">
        <v>7</v>
      </c>
      <c r="V436" s="10" t="s">
        <v>95</v>
      </c>
      <c r="W436" s="10" t="s">
        <v>96</v>
      </c>
      <c r="X436" s="109"/>
      <c r="Y436" s="109"/>
      <c r="Z436" s="10"/>
      <c r="AA436" s="10"/>
      <c r="AB436" s="10" t="s">
        <v>5</v>
      </c>
      <c r="AC436" s="99" t="s">
        <v>340</v>
      </c>
      <c r="AD436" s="92" t="s">
        <v>340</v>
      </c>
      <c r="AE436" s="105" t="s">
        <v>341</v>
      </c>
      <c r="AF436" s="125"/>
    </row>
    <row r="437" spans="1:32" ht="12.75">
      <c r="A437" s="10"/>
      <c r="B437" s="10"/>
      <c r="C437" s="125"/>
      <c r="D437" s="10" t="s">
        <v>6</v>
      </c>
      <c r="E437" s="101" t="s">
        <v>6</v>
      </c>
      <c r="F437" s="10"/>
      <c r="G437" s="10"/>
      <c r="H437" s="113" t="s">
        <v>6</v>
      </c>
      <c r="I437" s="109" t="s">
        <v>300</v>
      </c>
      <c r="J437" s="10" t="s">
        <v>6</v>
      </c>
      <c r="K437" s="99" t="s">
        <v>6</v>
      </c>
      <c r="L437" s="10" t="s">
        <v>6</v>
      </c>
      <c r="M437" s="102" t="s">
        <v>6</v>
      </c>
      <c r="N437" s="125"/>
      <c r="O437" s="177"/>
      <c r="P437" s="10" t="s">
        <v>6</v>
      </c>
      <c r="Q437" s="10" t="s">
        <v>6</v>
      </c>
      <c r="R437" s="10" t="s">
        <v>6</v>
      </c>
      <c r="S437" s="10" t="s">
        <v>6</v>
      </c>
      <c r="T437" s="10" t="s">
        <v>6</v>
      </c>
      <c r="U437" s="101" t="s">
        <v>6</v>
      </c>
      <c r="V437" s="10"/>
      <c r="W437" s="10"/>
      <c r="X437" s="109" t="s">
        <v>6</v>
      </c>
      <c r="Y437" s="109" t="s">
        <v>300</v>
      </c>
      <c r="Z437" s="10" t="s">
        <v>6</v>
      </c>
      <c r="AA437" s="10" t="s">
        <v>6</v>
      </c>
      <c r="AB437" s="10" t="s">
        <v>6</v>
      </c>
      <c r="AC437" s="99" t="s">
        <v>6</v>
      </c>
      <c r="AD437" s="92" t="s">
        <v>6</v>
      </c>
      <c r="AE437" s="105" t="s">
        <v>6</v>
      </c>
      <c r="AF437" s="125"/>
    </row>
    <row r="438" spans="1:32" ht="12.75">
      <c r="A438" s="79" t="s">
        <v>13</v>
      </c>
      <c r="B438" s="16" t="s">
        <v>155</v>
      </c>
      <c r="C438" s="10">
        <f aca="true" t="shared" si="214" ref="C438:E439">SUM(C359,C384,C408,C427)</f>
        <v>26</v>
      </c>
      <c r="D438" s="10">
        <f t="shared" si="214"/>
        <v>113.26</v>
      </c>
      <c r="E438" s="148">
        <f t="shared" si="214"/>
        <v>62.71</v>
      </c>
      <c r="F438" s="40"/>
      <c r="G438" s="40"/>
      <c r="H438" s="10">
        <f>SUM(H359,H384,H408,H427)</f>
        <v>22.66</v>
      </c>
      <c r="I438" s="10"/>
      <c r="J438" s="10">
        <f aca="true" t="shared" si="215" ref="J438:M439">SUM(J359,J384,J408,J427)</f>
        <v>77.06</v>
      </c>
      <c r="K438" s="89">
        <f t="shared" si="215"/>
        <v>33.88999999999999</v>
      </c>
      <c r="L438" s="10">
        <f t="shared" si="215"/>
        <v>107.77999999999999</v>
      </c>
      <c r="M438" s="86">
        <f t="shared" si="215"/>
        <v>33.019999999999996</v>
      </c>
      <c r="N438" s="40"/>
      <c r="O438" s="178">
        <f aca="true" t="shared" si="216" ref="O438:U439">SUM(O359,O384,O408,O427)</f>
        <v>267684</v>
      </c>
      <c r="P438" s="38">
        <f t="shared" si="216"/>
        <v>28.10682</v>
      </c>
      <c r="Q438" s="38">
        <f t="shared" si="216"/>
        <v>22.485456</v>
      </c>
      <c r="R438" s="38">
        <f t="shared" si="216"/>
        <v>3.7626</v>
      </c>
      <c r="S438" s="38">
        <f t="shared" si="216"/>
        <v>0.8</v>
      </c>
      <c r="T438" s="38">
        <f t="shared" si="216"/>
        <v>136.80422</v>
      </c>
      <c r="U438" s="148">
        <f t="shared" si="216"/>
        <v>82.13285599999999</v>
      </c>
      <c r="V438" s="40"/>
      <c r="W438" s="40"/>
      <c r="X438" s="38">
        <f>SUM(X359,X384,X408,X427)</f>
        <v>81.623476</v>
      </c>
      <c r="Y438" s="40"/>
      <c r="Z438" s="38">
        <f aca="true" t="shared" si="217" ref="Z438:AE439">SUM(Z359,Z384,Z408,Z427)</f>
        <v>13.57</v>
      </c>
      <c r="AA438" s="38">
        <f t="shared" si="217"/>
        <v>47.459999999999994</v>
      </c>
      <c r="AB438" s="38">
        <f t="shared" si="217"/>
        <v>82.13285599999999</v>
      </c>
      <c r="AC438" s="89">
        <f t="shared" si="217"/>
        <v>72.0490988</v>
      </c>
      <c r="AD438" s="119">
        <f t="shared" si="217"/>
        <v>38.159098799999995</v>
      </c>
      <c r="AE438" s="179">
        <f t="shared" si="217"/>
        <v>26.711369159999997</v>
      </c>
      <c r="AF438" s="40"/>
    </row>
    <row r="439" spans="1:32" ht="16.5" thickBot="1">
      <c r="A439" s="80" t="s">
        <v>14</v>
      </c>
      <c r="B439" s="22" t="s">
        <v>155</v>
      </c>
      <c r="C439" s="10">
        <f t="shared" si="214"/>
        <v>0</v>
      </c>
      <c r="D439" s="10">
        <f t="shared" si="214"/>
        <v>0</v>
      </c>
      <c r="E439" s="148">
        <f t="shared" si="214"/>
        <v>0</v>
      </c>
      <c r="F439" s="40"/>
      <c r="G439" s="40"/>
      <c r="H439" s="38">
        <f>SUM(H360,H385,H409,H428)</f>
        <v>0</v>
      </c>
      <c r="I439" s="10"/>
      <c r="J439" s="10">
        <f t="shared" si="215"/>
        <v>0</v>
      </c>
      <c r="K439" s="89">
        <f t="shared" si="215"/>
        <v>0</v>
      </c>
      <c r="L439" s="10">
        <f t="shared" si="215"/>
        <v>0</v>
      </c>
      <c r="M439" s="86">
        <f t="shared" si="215"/>
        <v>0</v>
      </c>
      <c r="N439" s="40"/>
      <c r="O439" s="178">
        <f t="shared" si="216"/>
        <v>0</v>
      </c>
      <c r="P439" s="10">
        <f t="shared" si="216"/>
        <v>0</v>
      </c>
      <c r="Q439" s="10">
        <f t="shared" si="216"/>
        <v>0</v>
      </c>
      <c r="R439" s="10">
        <f t="shared" si="216"/>
        <v>0</v>
      </c>
      <c r="S439" s="10">
        <f t="shared" si="216"/>
        <v>0</v>
      </c>
      <c r="T439" s="10">
        <f t="shared" si="216"/>
        <v>0</v>
      </c>
      <c r="U439" s="148">
        <f t="shared" si="216"/>
        <v>0</v>
      </c>
      <c r="V439" s="40"/>
      <c r="W439" s="40"/>
      <c r="X439" s="10">
        <f>SUM(X360,X385,X409,X428)</f>
        <v>0</v>
      </c>
      <c r="Y439" s="40"/>
      <c r="Z439" s="10">
        <f t="shared" si="217"/>
        <v>0</v>
      </c>
      <c r="AA439" s="10">
        <f t="shared" si="217"/>
        <v>0</v>
      </c>
      <c r="AB439" s="10">
        <f t="shared" si="217"/>
        <v>0</v>
      </c>
      <c r="AC439" s="89">
        <f t="shared" si="217"/>
        <v>0</v>
      </c>
      <c r="AD439" s="119">
        <f t="shared" si="217"/>
        <v>0</v>
      </c>
      <c r="AE439" s="179">
        <f t="shared" si="217"/>
        <v>0</v>
      </c>
      <c r="AF439" s="81"/>
    </row>
    <row r="440" spans="1:32" ht="13.5" thickBot="1">
      <c r="A440" s="26" t="s">
        <v>219</v>
      </c>
      <c r="B440" s="65"/>
      <c r="C440" s="27">
        <f>SUM(C438:C439)</f>
        <v>26</v>
      </c>
      <c r="D440" s="27">
        <f>SUM(D438,D439)</f>
        <v>113.26</v>
      </c>
      <c r="E440" s="152">
        <f>SUM(E438,E439)</f>
        <v>62.71</v>
      </c>
      <c r="F440" s="27"/>
      <c r="G440" s="27"/>
      <c r="H440" s="27">
        <f>SUM(H438,H439)</f>
        <v>22.66</v>
      </c>
      <c r="I440" s="135">
        <f>(H440/E440)</f>
        <v>0.3613458778504226</v>
      </c>
      <c r="J440" s="27">
        <f>SUM(J438,J439)</f>
        <v>77.06</v>
      </c>
      <c r="K440" s="90">
        <f>SUM(K438,K439)</f>
        <v>33.88999999999999</v>
      </c>
      <c r="L440" s="27">
        <f>SUM(L438,L439)</f>
        <v>107.77999999999999</v>
      </c>
      <c r="M440" s="87">
        <f>SUM(M438,M439)</f>
        <v>33.019999999999996</v>
      </c>
      <c r="N440" s="27"/>
      <c r="O440" s="180">
        <f>SUM(O438:O439)</f>
        <v>267684</v>
      </c>
      <c r="P440" s="28">
        <f aca="true" t="shared" si="218" ref="P440:U440">SUM(P438,P439)</f>
        <v>28.10682</v>
      </c>
      <c r="Q440" s="28">
        <f t="shared" si="218"/>
        <v>22.485456</v>
      </c>
      <c r="R440" s="28">
        <f t="shared" si="218"/>
        <v>3.7626</v>
      </c>
      <c r="S440" s="28">
        <f t="shared" si="218"/>
        <v>0.8</v>
      </c>
      <c r="T440" s="28">
        <f t="shared" si="218"/>
        <v>136.80422</v>
      </c>
      <c r="U440" s="152">
        <f t="shared" si="218"/>
        <v>82.13285599999999</v>
      </c>
      <c r="V440" s="27"/>
      <c r="W440" s="27"/>
      <c r="X440" s="28">
        <f>SUM(X438,X439)</f>
        <v>81.623476</v>
      </c>
      <c r="Y440" s="135">
        <f>SUM(X440/U440)</f>
        <v>0.9937980970733564</v>
      </c>
      <c r="Z440" s="28">
        <f aca="true" t="shared" si="219" ref="Z440:AE440">SUM(Z438,Z439)</f>
        <v>13.57</v>
      </c>
      <c r="AA440" s="28">
        <f t="shared" si="219"/>
        <v>47.459999999999994</v>
      </c>
      <c r="AB440" s="28">
        <f t="shared" si="219"/>
        <v>82.13285599999999</v>
      </c>
      <c r="AC440" s="90">
        <f t="shared" si="219"/>
        <v>72.0490988</v>
      </c>
      <c r="AD440" s="120">
        <f t="shared" si="219"/>
        <v>38.159098799999995</v>
      </c>
      <c r="AE440" s="181">
        <f t="shared" si="219"/>
        <v>26.711369159999997</v>
      </c>
      <c r="AF440" s="29"/>
    </row>
    <row r="441" spans="1:32" ht="14.25">
      <c r="A441" s="77" t="s">
        <v>182</v>
      </c>
      <c r="B441" s="77"/>
      <c r="C441" s="76"/>
      <c r="D441" s="75"/>
      <c r="E441" s="75"/>
      <c r="F441" s="76"/>
      <c r="G441" s="76"/>
      <c r="H441" s="76"/>
      <c r="I441" s="76"/>
      <c r="J441" s="75"/>
      <c r="K441" s="76"/>
      <c r="L441" s="75"/>
      <c r="M441" s="76"/>
      <c r="N441" s="76"/>
      <c r="O441" s="178">
        <f>SUM(O362,O387,O411,O430)</f>
        <v>324206</v>
      </c>
      <c r="P441" s="75"/>
      <c r="Q441" s="75"/>
      <c r="R441" s="75"/>
      <c r="S441" s="75"/>
      <c r="T441" s="75"/>
      <c r="U441" s="75"/>
      <c r="V441" s="75"/>
      <c r="W441" s="75"/>
      <c r="X441" s="75"/>
      <c r="Y441" s="75"/>
      <c r="Z441" s="75"/>
      <c r="AA441" s="75"/>
      <c r="AB441" s="75"/>
      <c r="AC441" s="75"/>
      <c r="AD441" s="75"/>
      <c r="AE441" s="75"/>
      <c r="AF441" s="72" t="s">
        <v>265</v>
      </c>
    </row>
    <row r="442" spans="1:32" ht="12.75">
      <c r="A442" s="77" t="s">
        <v>173</v>
      </c>
      <c r="B442" s="77"/>
      <c r="C442" s="76"/>
      <c r="D442" s="75"/>
      <c r="E442" s="75"/>
      <c r="F442" s="76"/>
      <c r="G442" s="76"/>
      <c r="H442" s="76"/>
      <c r="I442" s="76"/>
      <c r="J442" s="75"/>
      <c r="K442" s="76"/>
      <c r="L442" s="75"/>
      <c r="M442" s="76"/>
      <c r="N442" s="76"/>
      <c r="O442" s="182">
        <f>SUM(O440/O441)</f>
        <v>0.8256602283733182</v>
      </c>
      <c r="P442" s="75"/>
      <c r="Q442" s="75"/>
      <c r="R442" s="75"/>
      <c r="S442" s="75"/>
      <c r="T442" s="75"/>
      <c r="U442" s="75"/>
      <c r="V442" s="75"/>
      <c r="W442" s="75"/>
      <c r="X442" s="75"/>
      <c r="Y442" s="75"/>
      <c r="Z442" s="75"/>
      <c r="AA442" s="75"/>
      <c r="AB442" s="75"/>
      <c r="AC442" s="75"/>
      <c r="AD442" s="75"/>
      <c r="AE442" s="75"/>
      <c r="AF442" s="72"/>
    </row>
    <row r="443" spans="1:32" ht="12.75">
      <c r="A443" s="16"/>
      <c r="B443" s="16"/>
      <c r="C443" s="17"/>
      <c r="D443" s="71"/>
      <c r="E443" s="71"/>
      <c r="F443" s="107"/>
      <c r="G443" s="17"/>
      <c r="H443" s="17"/>
      <c r="I443" s="17"/>
      <c r="J443" s="18"/>
      <c r="K443" s="71"/>
      <c r="L443" s="18"/>
      <c r="M443" s="71"/>
      <c r="N443" s="17"/>
      <c r="O443" s="107"/>
      <c r="P443" s="18"/>
      <c r="Q443" s="18"/>
      <c r="R443" s="17"/>
      <c r="S443" s="17"/>
      <c r="T443" s="38"/>
      <c r="U443" s="111"/>
      <c r="V443" s="50"/>
      <c r="W443" s="50"/>
      <c r="X443" s="50"/>
      <c r="Y443" s="50"/>
      <c r="Z443" s="17"/>
      <c r="AA443" s="18"/>
      <c r="AB443" s="18"/>
      <c r="AC443" s="71"/>
      <c r="AD443" s="71"/>
      <c r="AE443" s="71"/>
      <c r="AF443" s="17"/>
    </row>
    <row r="444" spans="1:32" ht="15.75">
      <c r="A444" s="203" t="s">
        <v>333</v>
      </c>
      <c r="B444" s="203"/>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5"/>
    </row>
    <row r="445" spans="1:32" ht="12.75">
      <c r="A445" s="183" t="s">
        <v>413</v>
      </c>
      <c r="B445" s="16"/>
      <c r="C445" s="17"/>
      <c r="D445" s="71"/>
      <c r="E445" s="71"/>
      <c r="F445" s="107"/>
      <c r="G445" s="17"/>
      <c r="H445" s="17"/>
      <c r="I445" s="17"/>
      <c r="J445" s="18"/>
      <c r="K445" s="71"/>
      <c r="L445" s="18"/>
      <c r="M445" s="71"/>
      <c r="N445" s="17"/>
      <c r="O445" s="107"/>
      <c r="P445" s="18"/>
      <c r="Q445" s="18"/>
      <c r="R445" s="17"/>
      <c r="S445" s="17"/>
      <c r="T445" s="38"/>
      <c r="U445" s="111"/>
      <c r="V445" s="50"/>
      <c r="W445" s="50"/>
      <c r="X445" s="50"/>
      <c r="Y445" s="50"/>
      <c r="Z445" s="17"/>
      <c r="AA445" s="18"/>
      <c r="AB445" s="18"/>
      <c r="AC445" s="71"/>
      <c r="AD445" s="71"/>
      <c r="AE445" s="71"/>
      <c r="AF445" s="17"/>
    </row>
    <row r="446" spans="1:32" ht="15" customHeight="1">
      <c r="A446" s="206"/>
      <c r="B446" s="64"/>
      <c r="C446" s="10"/>
      <c r="D446" s="198" t="s">
        <v>285</v>
      </c>
      <c r="E446" s="198"/>
      <c r="F446" s="199" t="s">
        <v>286</v>
      </c>
      <c r="G446" s="199"/>
      <c r="H446" s="113" t="s">
        <v>131</v>
      </c>
      <c r="I446" s="109">
        <v>2010</v>
      </c>
      <c r="J446" s="208" t="s">
        <v>287</v>
      </c>
      <c r="K446" s="208"/>
      <c r="L446" s="209" t="s">
        <v>288</v>
      </c>
      <c r="M446" s="209"/>
      <c r="N446" s="10">
        <v>2010</v>
      </c>
      <c r="O446" s="68" t="s">
        <v>289</v>
      </c>
      <c r="P446" s="199" t="s">
        <v>290</v>
      </c>
      <c r="Q446" s="199"/>
      <c r="R446" s="199" t="s">
        <v>291</v>
      </c>
      <c r="S446" s="199"/>
      <c r="T446" s="198" t="s">
        <v>292</v>
      </c>
      <c r="U446" s="198"/>
      <c r="V446" s="199" t="s">
        <v>293</v>
      </c>
      <c r="W446" s="199"/>
      <c r="X446" s="114" t="s">
        <v>298</v>
      </c>
      <c r="Y446" s="114" t="s">
        <v>299</v>
      </c>
      <c r="Z446" s="200" t="s">
        <v>294</v>
      </c>
      <c r="AA446" s="40">
        <v>2020</v>
      </c>
      <c r="AB446" s="207" t="s">
        <v>295</v>
      </c>
      <c r="AC446" s="208"/>
      <c r="AD446" s="61" t="s">
        <v>296</v>
      </c>
      <c r="AE446" s="57" t="s">
        <v>296</v>
      </c>
      <c r="AF446" s="10"/>
    </row>
    <row r="447" spans="1:32" ht="12.75">
      <c r="A447" s="206"/>
      <c r="B447" s="66" t="s">
        <v>153</v>
      </c>
      <c r="C447" s="10" t="s">
        <v>0</v>
      </c>
      <c r="D447" s="198"/>
      <c r="E447" s="198"/>
      <c r="F447" s="199"/>
      <c r="G447" s="199"/>
      <c r="H447" s="113"/>
      <c r="I447" s="109" t="s">
        <v>131</v>
      </c>
      <c r="J447" s="208"/>
      <c r="K447" s="208"/>
      <c r="L447" s="209"/>
      <c r="M447" s="209"/>
      <c r="N447" s="10" t="s">
        <v>2</v>
      </c>
      <c r="O447" s="68" t="s">
        <v>161</v>
      </c>
      <c r="P447" s="199"/>
      <c r="Q447" s="199"/>
      <c r="R447" s="199"/>
      <c r="S447" s="199"/>
      <c r="T447" s="198"/>
      <c r="U447" s="198"/>
      <c r="V447" s="199"/>
      <c r="W447" s="199"/>
      <c r="X447" s="114" t="s">
        <v>131</v>
      </c>
      <c r="Y447" s="114"/>
      <c r="Z447" s="201"/>
      <c r="AA447" s="41" t="s">
        <v>145</v>
      </c>
      <c r="AB447" s="207"/>
      <c r="AC447" s="208"/>
      <c r="AD447" s="61" t="s">
        <v>145</v>
      </c>
      <c r="AE447" s="57" t="s">
        <v>297</v>
      </c>
      <c r="AF447" s="10" t="s">
        <v>3</v>
      </c>
    </row>
    <row r="448" spans="1:32" ht="14.25">
      <c r="A448" s="206"/>
      <c r="B448" s="66" t="s">
        <v>151</v>
      </c>
      <c r="C448" s="10" t="s">
        <v>1</v>
      </c>
      <c r="D448" s="198"/>
      <c r="E448" s="198"/>
      <c r="F448" s="199"/>
      <c r="G448" s="199"/>
      <c r="H448" s="113"/>
      <c r="I448" s="109"/>
      <c r="J448" s="208"/>
      <c r="K448" s="208"/>
      <c r="L448" s="209"/>
      <c r="M448" s="209"/>
      <c r="N448" s="10" t="s">
        <v>97</v>
      </c>
      <c r="O448" s="68" t="s">
        <v>270</v>
      </c>
      <c r="P448" s="199"/>
      <c r="Q448" s="199"/>
      <c r="R448" s="199"/>
      <c r="S448" s="199"/>
      <c r="T448" s="198"/>
      <c r="U448" s="198"/>
      <c r="V448" s="199"/>
      <c r="W448" s="199"/>
      <c r="X448" s="109"/>
      <c r="Y448" s="109"/>
      <c r="Z448" s="202"/>
      <c r="AA448" s="39" t="s">
        <v>143</v>
      </c>
      <c r="AB448" s="208"/>
      <c r="AC448" s="208"/>
      <c r="AD448" s="61"/>
      <c r="AE448" s="57"/>
      <c r="AF448" s="125"/>
    </row>
    <row r="449" spans="1:32" ht="52.5">
      <c r="A449" s="78" t="s">
        <v>220</v>
      </c>
      <c r="B449" s="10" t="s">
        <v>154</v>
      </c>
      <c r="C449" s="10" t="s">
        <v>302</v>
      </c>
      <c r="D449" s="10" t="s">
        <v>5</v>
      </c>
      <c r="E449" s="110" t="s">
        <v>7</v>
      </c>
      <c r="F449" s="10"/>
      <c r="G449" s="10"/>
      <c r="H449" s="113" t="s">
        <v>7</v>
      </c>
      <c r="I449" s="109"/>
      <c r="J449" s="10" t="s">
        <v>5</v>
      </c>
      <c r="K449" s="106" t="s">
        <v>277</v>
      </c>
      <c r="L449" s="10" t="s">
        <v>5</v>
      </c>
      <c r="M449" s="102" t="s">
        <v>7</v>
      </c>
      <c r="N449" s="10"/>
      <c r="O449" s="104"/>
      <c r="P449" s="10" t="s">
        <v>5</v>
      </c>
      <c r="Q449" s="10" t="s">
        <v>7</v>
      </c>
      <c r="R449" s="10" t="s">
        <v>272</v>
      </c>
      <c r="S449" s="10" t="s">
        <v>273</v>
      </c>
      <c r="T449" s="10" t="s">
        <v>5</v>
      </c>
      <c r="U449" s="101" t="s">
        <v>7</v>
      </c>
      <c r="V449" s="10" t="s">
        <v>95</v>
      </c>
      <c r="W449" s="10" t="s">
        <v>96</v>
      </c>
      <c r="X449" s="109"/>
      <c r="Y449" s="109"/>
      <c r="Z449" s="10"/>
      <c r="AA449" s="10"/>
      <c r="AB449" s="10" t="s">
        <v>5</v>
      </c>
      <c r="AC449" s="106" t="s">
        <v>340</v>
      </c>
      <c r="AD449" s="108" t="s">
        <v>340</v>
      </c>
      <c r="AE449" s="109" t="s">
        <v>341</v>
      </c>
      <c r="AF449" s="125"/>
    </row>
    <row r="450" spans="1:32" ht="12.75">
      <c r="A450" s="10"/>
      <c r="B450" s="10"/>
      <c r="C450" s="125"/>
      <c r="D450" s="10" t="s">
        <v>6</v>
      </c>
      <c r="E450" s="110" t="s">
        <v>6</v>
      </c>
      <c r="F450" s="10"/>
      <c r="G450" s="10"/>
      <c r="H450" s="113" t="s">
        <v>6</v>
      </c>
      <c r="I450" s="109" t="s">
        <v>300</v>
      </c>
      <c r="J450" s="10" t="s">
        <v>6</v>
      </c>
      <c r="K450" s="106" t="s">
        <v>6</v>
      </c>
      <c r="L450" s="10" t="s">
        <v>6</v>
      </c>
      <c r="M450" s="102" t="s">
        <v>6</v>
      </c>
      <c r="N450" s="125"/>
      <c r="O450" s="177"/>
      <c r="P450" s="10" t="s">
        <v>6</v>
      </c>
      <c r="Q450" s="10" t="s">
        <v>6</v>
      </c>
      <c r="R450" s="10" t="s">
        <v>6</v>
      </c>
      <c r="S450" s="10" t="s">
        <v>6</v>
      </c>
      <c r="T450" s="10" t="s">
        <v>6</v>
      </c>
      <c r="U450" s="101" t="s">
        <v>6</v>
      </c>
      <c r="V450" s="10"/>
      <c r="W450" s="10"/>
      <c r="X450" s="109" t="s">
        <v>6</v>
      </c>
      <c r="Y450" s="109" t="s">
        <v>300</v>
      </c>
      <c r="Z450" s="10" t="s">
        <v>6</v>
      </c>
      <c r="AA450" s="10" t="s">
        <v>6</v>
      </c>
      <c r="AB450" s="10" t="s">
        <v>6</v>
      </c>
      <c r="AC450" s="106" t="s">
        <v>6</v>
      </c>
      <c r="AD450" s="108" t="s">
        <v>6</v>
      </c>
      <c r="AE450" s="109" t="s">
        <v>6</v>
      </c>
      <c r="AF450" s="125"/>
    </row>
    <row r="451" spans="1:32" ht="12.75">
      <c r="A451" s="79" t="s">
        <v>13</v>
      </c>
      <c r="B451" s="16"/>
      <c r="C451" s="10">
        <f aca="true" t="shared" si="220" ref="C451:E452">SUM(C131,C238,C335,C438)</f>
        <v>112</v>
      </c>
      <c r="D451" s="10">
        <f t="shared" si="220"/>
        <v>551.71</v>
      </c>
      <c r="E451" s="110">
        <f t="shared" si="220"/>
        <v>320.29999999999995</v>
      </c>
      <c r="F451" s="10"/>
      <c r="G451" s="10"/>
      <c r="H451" s="10">
        <f>SUM(H131,H238,H335,H438)</f>
        <v>193.18</v>
      </c>
      <c r="I451" s="10"/>
      <c r="J451" s="10">
        <f aca="true" t="shared" si="221" ref="J451:M452">SUM(J131,J238,J335,J438)</f>
        <v>324.22</v>
      </c>
      <c r="K451" s="106">
        <f t="shared" si="221"/>
        <v>137.33999999999997</v>
      </c>
      <c r="L451" s="10">
        <f t="shared" si="221"/>
        <v>576.01</v>
      </c>
      <c r="M451" s="102">
        <f t="shared" si="221"/>
        <v>193.89</v>
      </c>
      <c r="N451" s="10"/>
      <c r="O451" s="178">
        <f aca="true" t="shared" si="222" ref="O451:U452">SUM(O131,O238,O335,O438)</f>
        <v>1078185</v>
      </c>
      <c r="P451" s="38">
        <f t="shared" si="222"/>
        <v>113.20942500000001</v>
      </c>
      <c r="Q451" s="38">
        <f t="shared" si="222"/>
        <v>90.56754000000001</v>
      </c>
      <c r="R451" s="38">
        <f t="shared" si="222"/>
        <v>19.438</v>
      </c>
      <c r="S451" s="38">
        <f t="shared" si="222"/>
        <v>11.8</v>
      </c>
      <c r="T451" s="38">
        <f t="shared" si="222"/>
        <v>633.681425</v>
      </c>
      <c r="U451" s="184">
        <f t="shared" si="222"/>
        <v>381.12953999999996</v>
      </c>
      <c r="V451" s="10"/>
      <c r="W451" s="10"/>
      <c r="X451" s="38">
        <f>SUM(X131,X238,X335,X438)</f>
        <v>291.44446</v>
      </c>
      <c r="Y451" s="10"/>
      <c r="Z451" s="38">
        <f aca="true" t="shared" si="223" ref="Z451:AE452">SUM(Z131,Z238,Z335,Z438)</f>
        <v>37.24</v>
      </c>
      <c r="AA451" s="38">
        <f t="shared" si="223"/>
        <v>171.44</v>
      </c>
      <c r="AB451" s="38">
        <f t="shared" si="223"/>
        <v>383.477924</v>
      </c>
      <c r="AC451" s="185">
        <f t="shared" si="223"/>
        <v>293.9433428</v>
      </c>
      <c r="AD451" s="122">
        <f t="shared" si="223"/>
        <v>156.6033428</v>
      </c>
      <c r="AE451" s="186">
        <f t="shared" si="223"/>
        <v>114.90876217999997</v>
      </c>
      <c r="AF451" s="40"/>
    </row>
    <row r="452" spans="1:32" ht="16.5" thickBot="1">
      <c r="A452" s="80" t="s">
        <v>14</v>
      </c>
      <c r="B452" s="22"/>
      <c r="C452" s="10">
        <f t="shared" si="220"/>
        <v>32</v>
      </c>
      <c r="D452" s="10">
        <f t="shared" si="220"/>
        <v>33.78</v>
      </c>
      <c r="E452" s="110">
        <f t="shared" si="220"/>
        <v>16.84</v>
      </c>
      <c r="F452" s="10"/>
      <c r="G452" s="10"/>
      <c r="H452" s="38">
        <f>SUM(H132,H239,H336,H439)</f>
        <v>0</v>
      </c>
      <c r="I452" s="10"/>
      <c r="J452" s="10">
        <f t="shared" si="221"/>
        <v>25.880000000000003</v>
      </c>
      <c r="K452" s="106">
        <f t="shared" si="221"/>
        <v>9.04</v>
      </c>
      <c r="L452" s="10">
        <f t="shared" si="221"/>
        <v>33.78</v>
      </c>
      <c r="M452" s="187">
        <f t="shared" si="221"/>
        <v>8.07</v>
      </c>
      <c r="N452" s="10"/>
      <c r="O452" s="178">
        <f t="shared" si="222"/>
        <v>176555</v>
      </c>
      <c r="P452" s="38">
        <f t="shared" si="222"/>
        <v>18.538275</v>
      </c>
      <c r="Q452" s="38">
        <f t="shared" si="222"/>
        <v>14.830620000000001</v>
      </c>
      <c r="R452" s="38">
        <f t="shared" si="222"/>
        <v>1.1884</v>
      </c>
      <c r="S452" s="38">
        <f t="shared" si="222"/>
        <v>0.25</v>
      </c>
      <c r="T452" s="38">
        <f t="shared" si="222"/>
        <v>50.634075</v>
      </c>
      <c r="U452" s="184">
        <f t="shared" si="222"/>
        <v>30.16642</v>
      </c>
      <c r="V452" s="10"/>
      <c r="W452" s="10"/>
      <c r="X452" s="38">
        <f>SUM(X132,X239,X336,X439)</f>
        <v>29.980992</v>
      </c>
      <c r="Y452" s="10"/>
      <c r="Z452" s="38">
        <f t="shared" si="223"/>
        <v>5.919999999999999</v>
      </c>
      <c r="AA452" s="38">
        <f t="shared" si="223"/>
        <v>14.850000000000001</v>
      </c>
      <c r="AB452" s="38">
        <f t="shared" si="223"/>
        <v>31.242915999999997</v>
      </c>
      <c r="AC452" s="185">
        <f t="shared" si="223"/>
        <v>23.7759744</v>
      </c>
      <c r="AD452" s="122">
        <f t="shared" si="223"/>
        <v>14.8459744</v>
      </c>
      <c r="AE452" s="186">
        <f t="shared" si="223"/>
        <v>10.6501706</v>
      </c>
      <c r="AF452" s="81"/>
    </row>
    <row r="453" spans="1:32" ht="13.5" thickBot="1">
      <c r="A453" s="26" t="s">
        <v>221</v>
      </c>
      <c r="B453" s="65"/>
      <c r="C453" s="27">
        <f>SUM(C451:C452)</f>
        <v>144</v>
      </c>
      <c r="D453" s="27">
        <f aca="true" t="shared" si="224" ref="D453:AE453">SUM(D451:D452)</f>
        <v>585.49</v>
      </c>
      <c r="E453" s="188">
        <f t="shared" si="224"/>
        <v>337.13999999999993</v>
      </c>
      <c r="F453" s="27"/>
      <c r="G453" s="27"/>
      <c r="H453" s="27">
        <f>SUM(H451:H452)</f>
        <v>193.18</v>
      </c>
      <c r="I453" s="135">
        <f>(H453/E453)</f>
        <v>0.5729963813252656</v>
      </c>
      <c r="J453" s="27">
        <f t="shared" si="224"/>
        <v>350.1</v>
      </c>
      <c r="K453" s="189">
        <f t="shared" si="224"/>
        <v>146.37999999999997</v>
      </c>
      <c r="L453" s="27">
        <f t="shared" si="224"/>
        <v>609.79</v>
      </c>
      <c r="M453" s="190">
        <f t="shared" si="224"/>
        <v>201.95999999999998</v>
      </c>
      <c r="N453" s="27"/>
      <c r="O453" s="180">
        <f t="shared" si="224"/>
        <v>1254740</v>
      </c>
      <c r="P453" s="28">
        <f t="shared" si="224"/>
        <v>131.7477</v>
      </c>
      <c r="Q453" s="28">
        <f t="shared" si="224"/>
        <v>105.39816</v>
      </c>
      <c r="R453" s="28">
        <f t="shared" si="224"/>
        <v>20.6264</v>
      </c>
      <c r="S453" s="28">
        <f t="shared" si="224"/>
        <v>12.05</v>
      </c>
      <c r="T453" s="28">
        <f t="shared" si="224"/>
        <v>684.3155</v>
      </c>
      <c r="U453" s="152">
        <f t="shared" si="224"/>
        <v>411.29596</v>
      </c>
      <c r="V453" s="27"/>
      <c r="W453" s="27"/>
      <c r="X453" s="28">
        <f>SUM(X451:X452)</f>
        <v>321.425452</v>
      </c>
      <c r="Y453" s="135">
        <f>SUM(X453/U453)</f>
        <v>0.7814943088670261</v>
      </c>
      <c r="Z453" s="28">
        <f t="shared" si="224"/>
        <v>43.160000000000004</v>
      </c>
      <c r="AA453" s="28">
        <f t="shared" si="224"/>
        <v>186.29</v>
      </c>
      <c r="AB453" s="28">
        <f t="shared" si="224"/>
        <v>414.72083999999995</v>
      </c>
      <c r="AC453" s="191">
        <f t="shared" si="224"/>
        <v>317.7193172</v>
      </c>
      <c r="AD453" s="123">
        <f t="shared" si="224"/>
        <v>171.4493172</v>
      </c>
      <c r="AE453" s="192">
        <f t="shared" si="224"/>
        <v>125.55893277999996</v>
      </c>
      <c r="AF453" s="29"/>
    </row>
    <row r="454" spans="1:32" ht="14.25">
      <c r="A454" s="77" t="s">
        <v>182</v>
      </c>
      <c r="B454" s="77"/>
      <c r="C454" s="76"/>
      <c r="D454" s="75"/>
      <c r="E454" s="75"/>
      <c r="F454" s="76"/>
      <c r="G454" s="76"/>
      <c r="H454" s="76"/>
      <c r="I454" s="76"/>
      <c r="J454" s="75"/>
      <c r="K454" s="76"/>
      <c r="L454" s="75"/>
      <c r="M454" s="76"/>
      <c r="N454" s="76"/>
      <c r="O454" s="178">
        <f>SUM(O134,O241,O338,O441)</f>
        <v>1747986</v>
      </c>
      <c r="P454" s="75"/>
      <c r="Q454" s="75"/>
      <c r="R454" s="75"/>
      <c r="S454" s="75"/>
      <c r="T454" s="75"/>
      <c r="U454" s="75"/>
      <c r="V454" s="75"/>
      <c r="W454" s="75"/>
      <c r="X454" s="75"/>
      <c r="Y454" s="75"/>
      <c r="Z454" s="75"/>
      <c r="AA454" s="75"/>
      <c r="AB454" s="75"/>
      <c r="AC454" s="75"/>
      <c r="AD454" s="75"/>
      <c r="AE454" s="75"/>
      <c r="AF454" s="72" t="s">
        <v>265</v>
      </c>
    </row>
    <row r="455" spans="1:32" ht="12.75">
      <c r="A455" s="77" t="s">
        <v>173</v>
      </c>
      <c r="B455" s="77"/>
      <c r="C455" s="76"/>
      <c r="D455" s="75"/>
      <c r="E455" s="75"/>
      <c r="F455" s="76"/>
      <c r="G455" s="76"/>
      <c r="H455" s="76"/>
      <c r="I455" s="76"/>
      <c r="J455" s="75"/>
      <c r="K455" s="76"/>
      <c r="L455" s="75"/>
      <c r="M455" s="76"/>
      <c r="N455" s="76"/>
      <c r="O455" s="182">
        <f>SUM(O453/O454)</f>
        <v>0.7178203944425184</v>
      </c>
      <c r="P455" s="75"/>
      <c r="Q455" s="75"/>
      <c r="R455" s="75"/>
      <c r="S455" s="75"/>
      <c r="T455" s="75"/>
      <c r="U455" s="75"/>
      <c r="V455" s="75"/>
      <c r="W455" s="75"/>
      <c r="X455" s="75"/>
      <c r="Y455" s="75"/>
      <c r="Z455" s="75"/>
      <c r="AA455" s="75"/>
      <c r="AB455" s="75"/>
      <c r="AC455" s="75"/>
      <c r="AD455" s="75"/>
      <c r="AE455" s="75"/>
      <c r="AF455" s="72"/>
    </row>
    <row r="456" spans="1:32" ht="12.75">
      <c r="A456" s="77"/>
      <c r="B456" s="77"/>
      <c r="C456" s="76"/>
      <c r="D456" s="75"/>
      <c r="E456" s="75"/>
      <c r="F456" s="76"/>
      <c r="G456" s="76"/>
      <c r="H456" s="76"/>
      <c r="I456" s="76"/>
      <c r="J456" s="75"/>
      <c r="K456" s="76"/>
      <c r="L456" s="75"/>
      <c r="M456" s="76"/>
      <c r="N456" s="76"/>
      <c r="O456" s="73"/>
      <c r="P456" s="75"/>
      <c r="Q456" s="75"/>
      <c r="R456" s="75"/>
      <c r="S456" s="75"/>
      <c r="T456" s="75"/>
      <c r="U456" s="75"/>
      <c r="V456" s="75"/>
      <c r="W456" s="75"/>
      <c r="X456" s="75"/>
      <c r="Y456" s="75"/>
      <c r="Z456" s="75"/>
      <c r="AA456" s="75"/>
      <c r="AB456" s="75"/>
      <c r="AC456" s="75"/>
      <c r="AD456" s="75"/>
      <c r="AE456" s="75"/>
      <c r="AF456" s="5"/>
    </row>
    <row r="457" spans="1:32" ht="15.75">
      <c r="A457" s="203" t="s">
        <v>333</v>
      </c>
      <c r="B457" s="203"/>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5"/>
    </row>
    <row r="458" spans="1:2" ht="15">
      <c r="A458" s="193" t="s">
        <v>415</v>
      </c>
      <c r="B458" s="1"/>
    </row>
    <row r="459" ht="12.75">
      <c r="A459" s="2" t="s">
        <v>98</v>
      </c>
    </row>
    <row r="460" ht="12.75">
      <c r="A460" s="2" t="s">
        <v>274</v>
      </c>
    </row>
    <row r="461" ht="12.75">
      <c r="A461" s="2" t="s">
        <v>92</v>
      </c>
    </row>
    <row r="462" ht="12.75">
      <c r="A462" s="2" t="s">
        <v>93</v>
      </c>
    </row>
    <row r="463" ht="12.75">
      <c r="A463" s="2" t="s">
        <v>275</v>
      </c>
    </row>
    <row r="464" ht="12.75">
      <c r="A464" s="2" t="s">
        <v>99</v>
      </c>
    </row>
    <row r="465" ht="12.75">
      <c r="A465" s="2" t="s">
        <v>100</v>
      </c>
    </row>
    <row r="466" ht="12.75">
      <c r="A466" s="2" t="s">
        <v>101</v>
      </c>
    </row>
    <row r="467" ht="12.75">
      <c r="A467" s="2" t="s">
        <v>102</v>
      </c>
    </row>
    <row r="468" ht="12.75">
      <c r="A468" s="2" t="s">
        <v>103</v>
      </c>
    </row>
    <row r="469" ht="12.75">
      <c r="A469" s="2" t="s">
        <v>104</v>
      </c>
    </row>
    <row r="470" ht="12.75">
      <c r="A470" s="2" t="s">
        <v>133</v>
      </c>
    </row>
    <row r="471" ht="12.75">
      <c r="A471" s="2" t="s">
        <v>134</v>
      </c>
    </row>
    <row r="472" ht="12.75">
      <c r="A472" s="2" t="s">
        <v>135</v>
      </c>
    </row>
    <row r="473" ht="12.75">
      <c r="A473" s="2" t="s">
        <v>136</v>
      </c>
    </row>
    <row r="474" ht="12.75">
      <c r="A474" s="2" t="s">
        <v>137</v>
      </c>
    </row>
    <row r="475" ht="12.75">
      <c r="A475" s="2" t="s">
        <v>138</v>
      </c>
    </row>
    <row r="476" ht="12.75">
      <c r="A476" s="2" t="s">
        <v>142</v>
      </c>
    </row>
    <row r="477" ht="12.75">
      <c r="A477" s="2" t="s">
        <v>141</v>
      </c>
    </row>
    <row r="478" ht="12.75">
      <c r="A478" s="2" t="s">
        <v>271</v>
      </c>
    </row>
    <row r="479" ht="12.75">
      <c r="A479" s="2" t="s">
        <v>152</v>
      </c>
    </row>
    <row r="480" spans="1:2" ht="12.75">
      <c r="A480" s="7" t="s">
        <v>94</v>
      </c>
      <c r="B480" s="7"/>
    </row>
    <row r="481" ht="12.75">
      <c r="A481" s="2" t="s">
        <v>307</v>
      </c>
    </row>
    <row r="482" ht="12.75">
      <c r="A482" s="2" t="s">
        <v>263</v>
      </c>
    </row>
    <row r="483" ht="12.75">
      <c r="A483" s="2" t="s">
        <v>407</v>
      </c>
    </row>
    <row r="484" ht="12.75">
      <c r="A484" s="2" t="s">
        <v>276</v>
      </c>
    </row>
    <row r="485" ht="12.75">
      <c r="A485" s="2" t="s">
        <v>269</v>
      </c>
    </row>
    <row r="486" spans="1:2" ht="12.75">
      <c r="A486" s="8" t="s">
        <v>308</v>
      </c>
      <c r="B486" s="8"/>
    </row>
    <row r="487" spans="1:2" ht="12.75">
      <c r="A487" s="8" t="s">
        <v>309</v>
      </c>
      <c r="B487" s="8"/>
    </row>
    <row r="488" spans="1:2" ht="12.75">
      <c r="A488" s="8" t="s">
        <v>408</v>
      </c>
      <c r="B488" s="8"/>
    </row>
    <row r="489" spans="1:2" ht="12.75">
      <c r="A489" s="8" t="s">
        <v>310</v>
      </c>
      <c r="B489" s="8"/>
    </row>
    <row r="490" spans="1:2" ht="12.75">
      <c r="A490" s="8" t="s">
        <v>311</v>
      </c>
      <c r="B490" s="8"/>
    </row>
    <row r="491" spans="1:2" ht="12.75">
      <c r="A491" s="8" t="s">
        <v>264</v>
      </c>
      <c r="B491" s="8"/>
    </row>
    <row r="492" spans="1:12" ht="12.75">
      <c r="A492" s="196" t="s">
        <v>312</v>
      </c>
      <c r="B492" s="196"/>
      <c r="C492" s="197"/>
      <c r="D492" s="197"/>
      <c r="E492" s="197"/>
      <c r="F492" s="197"/>
      <c r="G492" s="197"/>
      <c r="H492" s="197"/>
      <c r="I492" s="197"/>
      <c r="J492" s="197"/>
      <c r="K492" s="197"/>
      <c r="L492" s="197"/>
    </row>
    <row r="493" spans="1:12" ht="12.75">
      <c r="A493" s="196" t="s">
        <v>313</v>
      </c>
      <c r="B493" s="196"/>
      <c r="C493" s="197"/>
      <c r="D493" s="197"/>
      <c r="E493" s="197"/>
      <c r="F493" s="197"/>
      <c r="G493" s="197"/>
      <c r="H493" s="197"/>
      <c r="I493" s="197"/>
      <c r="J493" s="197"/>
      <c r="K493" s="197"/>
      <c r="L493" s="197"/>
    </row>
    <row r="494" spans="1:12" ht="12.75">
      <c r="A494" s="196" t="s">
        <v>314</v>
      </c>
      <c r="B494" s="196"/>
      <c r="C494" s="197"/>
      <c r="D494" s="197"/>
      <c r="E494" s="197"/>
      <c r="F494" s="197"/>
      <c r="G494" s="197"/>
      <c r="H494" s="197"/>
      <c r="I494" s="197"/>
      <c r="J494" s="197"/>
      <c r="K494" s="197"/>
      <c r="L494" s="197"/>
    </row>
    <row r="495" spans="1:12" ht="12.75">
      <c r="A495" s="196" t="s">
        <v>406</v>
      </c>
      <c r="B495" s="196"/>
      <c r="C495" s="197"/>
      <c r="D495" s="197"/>
      <c r="E495" s="197"/>
      <c r="F495" s="197"/>
      <c r="G495" s="197"/>
      <c r="H495" s="197"/>
      <c r="I495" s="197"/>
      <c r="J495" s="197"/>
      <c r="K495" s="197"/>
      <c r="L495" s="197"/>
    </row>
    <row r="496" spans="1:16" ht="20.25" customHeight="1">
      <c r="A496" s="3" t="s">
        <v>342</v>
      </c>
      <c r="B496" s="3"/>
      <c r="C496" s="9"/>
      <c r="D496" s="9"/>
      <c r="E496" s="9"/>
      <c r="F496" s="9"/>
      <c r="G496" s="9"/>
      <c r="H496" s="9"/>
      <c r="I496" s="9"/>
      <c r="J496" s="9"/>
      <c r="K496" s="9"/>
      <c r="L496" s="9"/>
      <c r="M496" s="103"/>
      <c r="N496" s="103"/>
      <c r="O496" s="103"/>
      <c r="P496" s="103"/>
    </row>
    <row r="497" spans="1:2" ht="12.75">
      <c r="A497" s="195" t="s">
        <v>410</v>
      </c>
      <c r="B497" s="195"/>
    </row>
    <row r="498" ht="12.75">
      <c r="A498" s="2" t="s">
        <v>411</v>
      </c>
    </row>
    <row r="499" ht="12.75">
      <c r="A499" s="2" t="s">
        <v>416</v>
      </c>
    </row>
  </sheetData>
  <sheetProtection/>
  <mergeCells count="256">
    <mergeCell ref="A2:A4"/>
    <mergeCell ref="D2:E4"/>
    <mergeCell ref="F2:G4"/>
    <mergeCell ref="J2:K4"/>
    <mergeCell ref="L2:M4"/>
    <mergeCell ref="T17:U19"/>
    <mergeCell ref="J17:K19"/>
    <mergeCell ref="L17:M19"/>
    <mergeCell ref="P17:Q19"/>
    <mergeCell ref="F17:G19"/>
    <mergeCell ref="V2:W4"/>
    <mergeCell ref="Z2:Z4"/>
    <mergeCell ref="AB2:AC4"/>
    <mergeCell ref="T2:U4"/>
    <mergeCell ref="AB392:AC394"/>
    <mergeCell ref="V17:W19"/>
    <mergeCell ref="Z17:Z19"/>
    <mergeCell ref="AB17:AC19"/>
    <mergeCell ref="V392:W394"/>
    <mergeCell ref="AB204:AC206"/>
    <mergeCell ref="P2:Q4"/>
    <mergeCell ref="R2:S4"/>
    <mergeCell ref="A17:A19"/>
    <mergeCell ref="D17:E19"/>
    <mergeCell ref="R392:S394"/>
    <mergeCell ref="T392:U394"/>
    <mergeCell ref="L392:M394"/>
    <mergeCell ref="F392:G394"/>
    <mergeCell ref="R17:S19"/>
    <mergeCell ref="P392:Q394"/>
    <mergeCell ref="Z247:Z249"/>
    <mergeCell ref="L204:M206"/>
    <mergeCell ref="D291:E293"/>
    <mergeCell ref="A107:AF108"/>
    <mergeCell ref="A136:AF137"/>
    <mergeCell ref="A201:AF202"/>
    <mergeCell ref="AB171:AC173"/>
    <mergeCell ref="T204:U206"/>
    <mergeCell ref="V204:W206"/>
    <mergeCell ref="Z204:Z206"/>
    <mergeCell ref="D346:E348"/>
    <mergeCell ref="V291:W293"/>
    <mergeCell ref="T346:U348"/>
    <mergeCell ref="V346:W348"/>
    <mergeCell ref="AB346:AC348"/>
    <mergeCell ref="Z310:Z312"/>
    <mergeCell ref="V330:W332"/>
    <mergeCell ref="Z330:Z332"/>
    <mergeCell ref="AB330:AC332"/>
    <mergeCell ref="J346:K348"/>
    <mergeCell ref="R433:S435"/>
    <mergeCell ref="F433:G435"/>
    <mergeCell ref="J367:K369"/>
    <mergeCell ref="L367:M369"/>
    <mergeCell ref="V233:W235"/>
    <mergeCell ref="Z233:Z235"/>
    <mergeCell ref="Z392:Z394"/>
    <mergeCell ref="A391:AF391"/>
    <mergeCell ref="A346:A348"/>
    <mergeCell ref="A392:A394"/>
    <mergeCell ref="L346:M348"/>
    <mergeCell ref="T330:U332"/>
    <mergeCell ref="AB291:AC293"/>
    <mergeCell ref="T310:U312"/>
    <mergeCell ref="V310:W312"/>
    <mergeCell ref="A309:AF309"/>
    <mergeCell ref="A310:A312"/>
    <mergeCell ref="F346:G348"/>
    <mergeCell ref="A344:AF345"/>
    <mergeCell ref="A291:A293"/>
    <mergeCell ref="P233:Q235"/>
    <mergeCell ref="R233:S235"/>
    <mergeCell ref="J291:K293"/>
    <mergeCell ref="L291:M293"/>
    <mergeCell ref="F291:G293"/>
    <mergeCell ref="A244:AF245"/>
    <mergeCell ref="A247:A249"/>
    <mergeCell ref="D247:E249"/>
    <mergeCell ref="F247:G249"/>
    <mergeCell ref="A233:A235"/>
    <mergeCell ref="D310:E312"/>
    <mergeCell ref="J310:K312"/>
    <mergeCell ref="R310:S312"/>
    <mergeCell ref="AB310:AC312"/>
    <mergeCell ref="A289:AF290"/>
    <mergeCell ref="L310:M312"/>
    <mergeCell ref="F310:G312"/>
    <mergeCell ref="P310:Q312"/>
    <mergeCell ref="P291:Q293"/>
    <mergeCell ref="Z291:Z293"/>
    <mergeCell ref="A492:L492"/>
    <mergeCell ref="A342:AF342"/>
    <mergeCell ref="Z346:Z348"/>
    <mergeCell ref="R330:S332"/>
    <mergeCell ref="P367:Q369"/>
    <mergeCell ref="D433:E435"/>
    <mergeCell ref="J433:K435"/>
    <mergeCell ref="A367:A369"/>
    <mergeCell ref="D367:E369"/>
    <mergeCell ref="F367:G369"/>
    <mergeCell ref="A41:A43"/>
    <mergeCell ref="D41:E43"/>
    <mergeCell ref="F41:G43"/>
    <mergeCell ref="J41:K43"/>
    <mergeCell ref="L41:M43"/>
    <mergeCell ref="A62:A64"/>
    <mergeCell ref="D62:E64"/>
    <mergeCell ref="F62:G64"/>
    <mergeCell ref="J62:K64"/>
    <mergeCell ref="L62:M64"/>
    <mergeCell ref="P41:Q43"/>
    <mergeCell ref="R41:S43"/>
    <mergeCell ref="T41:U43"/>
    <mergeCell ref="V41:W43"/>
    <mergeCell ref="Z41:Z43"/>
    <mergeCell ref="AB41:AC43"/>
    <mergeCell ref="P62:Q64"/>
    <mergeCell ref="R62:S64"/>
    <mergeCell ref="T62:U64"/>
    <mergeCell ref="V62:W64"/>
    <mergeCell ref="Z62:Z64"/>
    <mergeCell ref="AB62:AC64"/>
    <mergeCell ref="A85:A87"/>
    <mergeCell ref="D85:E87"/>
    <mergeCell ref="F85:G87"/>
    <mergeCell ref="J85:K87"/>
    <mergeCell ref="L85:M87"/>
    <mergeCell ref="P85:Q87"/>
    <mergeCell ref="R85:S87"/>
    <mergeCell ref="T85:U87"/>
    <mergeCell ref="V85:W87"/>
    <mergeCell ref="Z85:Z87"/>
    <mergeCell ref="AB85:AC87"/>
    <mergeCell ref="A111:A113"/>
    <mergeCell ref="D111:E113"/>
    <mergeCell ref="F111:G113"/>
    <mergeCell ref="J111:K113"/>
    <mergeCell ref="L111:M113"/>
    <mergeCell ref="P111:Q113"/>
    <mergeCell ref="R111:S113"/>
    <mergeCell ref="T111:U113"/>
    <mergeCell ref="V111:W113"/>
    <mergeCell ref="Z111:Z113"/>
    <mergeCell ref="AB111:AC113"/>
    <mergeCell ref="A126:A128"/>
    <mergeCell ref="D126:E128"/>
    <mergeCell ref="F126:G128"/>
    <mergeCell ref="J126:K128"/>
    <mergeCell ref="L126:M128"/>
    <mergeCell ref="P126:Q128"/>
    <mergeCell ref="R126:S128"/>
    <mergeCell ref="AB126:AC128"/>
    <mergeCell ref="A139:A141"/>
    <mergeCell ref="D139:E141"/>
    <mergeCell ref="F139:G141"/>
    <mergeCell ref="J139:K141"/>
    <mergeCell ref="L139:M141"/>
    <mergeCell ref="P139:Q141"/>
    <mergeCell ref="T126:U128"/>
    <mergeCell ref="AB139:AC141"/>
    <mergeCell ref="A171:A173"/>
    <mergeCell ref="T171:U173"/>
    <mergeCell ref="V126:W128"/>
    <mergeCell ref="Z126:Z128"/>
    <mergeCell ref="T233:U235"/>
    <mergeCell ref="R139:S141"/>
    <mergeCell ref="T139:U141"/>
    <mergeCell ref="V139:W141"/>
    <mergeCell ref="Z139:Z141"/>
    <mergeCell ref="V171:W173"/>
    <mergeCell ref="D233:E235"/>
    <mergeCell ref="F233:G235"/>
    <mergeCell ref="J233:K235"/>
    <mergeCell ref="L233:M235"/>
    <mergeCell ref="A204:A206"/>
    <mergeCell ref="D204:E206"/>
    <mergeCell ref="F204:G206"/>
    <mergeCell ref="J204:K206"/>
    <mergeCell ref="D171:E173"/>
    <mergeCell ref="F171:G173"/>
    <mergeCell ref="J171:K173"/>
    <mergeCell ref="L171:M173"/>
    <mergeCell ref="R204:S206"/>
    <mergeCell ref="AB233:AC235"/>
    <mergeCell ref="P171:Q173"/>
    <mergeCell ref="R171:S173"/>
    <mergeCell ref="P204:Q206"/>
    <mergeCell ref="Z171:Z173"/>
    <mergeCell ref="AB247:AC249"/>
    <mergeCell ref="A330:A332"/>
    <mergeCell ref="D330:E332"/>
    <mergeCell ref="F330:G332"/>
    <mergeCell ref="J330:K332"/>
    <mergeCell ref="L330:M332"/>
    <mergeCell ref="P330:Q332"/>
    <mergeCell ref="J247:K249"/>
    <mergeCell ref="L247:M249"/>
    <mergeCell ref="V247:W249"/>
    <mergeCell ref="P247:Q249"/>
    <mergeCell ref="R247:S249"/>
    <mergeCell ref="P346:Q348"/>
    <mergeCell ref="R346:S348"/>
    <mergeCell ref="R367:S369"/>
    <mergeCell ref="T367:U369"/>
    <mergeCell ref="R291:S293"/>
    <mergeCell ref="T291:U293"/>
    <mergeCell ref="A365:AF366"/>
    <mergeCell ref="T247:U249"/>
    <mergeCell ref="AB367:AC369"/>
    <mergeCell ref="A415:A417"/>
    <mergeCell ref="D415:E417"/>
    <mergeCell ref="F415:G417"/>
    <mergeCell ref="J415:K417"/>
    <mergeCell ref="L415:M417"/>
    <mergeCell ref="P415:Q417"/>
    <mergeCell ref="R415:S417"/>
    <mergeCell ref="D392:E394"/>
    <mergeCell ref="J392:K394"/>
    <mergeCell ref="F446:G448"/>
    <mergeCell ref="J446:K448"/>
    <mergeCell ref="L446:M448"/>
    <mergeCell ref="P446:Q448"/>
    <mergeCell ref="V367:W369"/>
    <mergeCell ref="Z367:Z369"/>
    <mergeCell ref="L433:M435"/>
    <mergeCell ref="T433:U435"/>
    <mergeCell ref="V433:W435"/>
    <mergeCell ref="P433:Q435"/>
    <mergeCell ref="A433:A435"/>
    <mergeCell ref="AB446:AC448"/>
    <mergeCell ref="T415:U417"/>
    <mergeCell ref="V415:W417"/>
    <mergeCell ref="Z415:Z417"/>
    <mergeCell ref="AB415:AC417"/>
    <mergeCell ref="Z433:Z435"/>
    <mergeCell ref="AB433:AC435"/>
    <mergeCell ref="A444:AF444"/>
    <mergeCell ref="A446:A448"/>
    <mergeCell ref="A497:B497"/>
    <mergeCell ref="A494:L494"/>
    <mergeCell ref="A493:L493"/>
    <mergeCell ref="T446:U448"/>
    <mergeCell ref="V446:W448"/>
    <mergeCell ref="Z446:Z448"/>
    <mergeCell ref="A495:L495"/>
    <mergeCell ref="A457:AF457"/>
    <mergeCell ref="R446:S448"/>
    <mergeCell ref="D446:E448"/>
    <mergeCell ref="GK82:HP83"/>
    <mergeCell ref="HQ82:IV83"/>
    <mergeCell ref="A82:AF83"/>
    <mergeCell ref="AG82:BL83"/>
    <mergeCell ref="BM82:CR83"/>
    <mergeCell ref="CS82:DX83"/>
    <mergeCell ref="DY82:FD83"/>
    <mergeCell ref="FE82:GJ83"/>
  </mergeCells>
  <printOptions horizontalCentered="1"/>
  <pageMargins left="0.5" right="0.5" top="0.75" bottom="0.75" header="0.5" footer="0.5"/>
  <pageSetup fitToHeight="0" fitToWidth="1" horizontalDpi="600" verticalDpi="600" orientation="landscape" paperSize="17" scale="42" r:id="rId2"/>
  <rowBreaks count="8" manualBreakCount="8">
    <brk id="81" max="31" man="1"/>
    <brk id="135" max="31" man="1"/>
    <brk id="200" max="31" man="1"/>
    <brk id="243" max="31" man="1"/>
    <brk id="339" max="31" man="1"/>
    <brk id="388" max="31" man="1"/>
    <brk id="442" max="31" man="1"/>
    <brk id="456" max="3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Florida Water Management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jmadden</cp:lastModifiedBy>
  <cp:lastPrinted>2015-04-20T19:06:00Z</cp:lastPrinted>
  <dcterms:created xsi:type="dcterms:W3CDTF">2004-03-11T15:24:51Z</dcterms:created>
  <dcterms:modified xsi:type="dcterms:W3CDTF">2015-04-20T19:29:53Z</dcterms:modified>
  <cp:category/>
  <cp:version/>
  <cp:contentType/>
  <cp:contentStatus/>
</cp:coreProperties>
</file>